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704BDD31-3E63-4823-A2C5-83E051EB3155}" xr6:coauthVersionLast="47" xr6:coauthVersionMax="47" xr10:uidLastSave="{00000000-0000-0000-0000-000000000000}"/>
  <bookViews>
    <workbookView xWindow="-110" yWindow="-110" windowWidth="19420" windowHeight="10420" tabRatio="731" activeTab="10"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 sheetId="34" r:id="rId15"/>
    <sheet name="CAPM" sheetId="35" r:id="rId16"/>
    <sheet name="Single Stage Div Growth Model" sheetId="19" r:id="rId17"/>
    <sheet name="Two-Stage Dividend Growth Model" sheetId="20" r:id="rId18"/>
    <sheet name="Multiples" sheetId="31" r:id="rId19"/>
    <sheet name="Info" sheetId="9" r:id="rId20"/>
  </sheets>
  <definedNames>
    <definedName name="_xlnm.Print_Area" localSheetId="6">'Beta for CAPM'!$A$1:$I$44</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Debt'!$A$1:$K$43</definedName>
    <definedName name="_xlnm.Print_Area" localSheetId="11">'Direct GCF'!$A$1:$N$44</definedName>
    <definedName name="_xlnm.Print_Area" localSheetId="12">'Direct NOPAT'!$A$1:$N$78</definedName>
    <definedName name="_xlnm.Print_Area" localSheetId="7">'Dividends '!$A$1:$K$40</definedName>
    <definedName name="_xlnm.Print_Area" localSheetId="8">Earnings!$A$1:$K$40</definedName>
    <definedName name="_xlnm.Print_Area" localSheetId="13">'Growth &amp; Inflation Rates'!$A$1:$H$118</definedName>
    <definedName name="_xlnm.Print_Area" localSheetId="14">'Indicated Yield Equity Rate '!$A$1:$F$60</definedName>
    <definedName name="_xlnm.Print_Area" localSheetId="5">'Maintenance CapEx'!$A$1:$L$86</definedName>
    <definedName name="_xlnm.Print_Area" localSheetId="4">'Market to Book Ratios'!$A$1:$G$78</definedName>
    <definedName name="_xlnm.Print_Area" localSheetId="18">Multiples!$A$1:$J$48</definedName>
    <definedName name="_xlnm.Print_Area" localSheetId="3">'S&amp;D'!$A$1:$L$89</definedName>
    <definedName name="_xlnm.Print_Area" localSheetId="16">'Single Stage Div Growth Model'!$A$1:$K$54</definedName>
    <definedName name="_xlnm.Print_Area" localSheetId="17">'Two-Stage Dividend Growth Model'!$A$1:$I$52</definedName>
    <definedName name="_xlnm.Print_Area" localSheetId="1">'Yield CapRate'!$A$1:$H$35</definedName>
    <definedName name="_xlnm.Print_Area" localSheetId="10">'Yield Debt'!$A$1:$M$69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2" i="3" l="1"/>
  <c r="J62" i="3" s="1"/>
  <c r="H61" i="3"/>
  <c r="H60" i="3"/>
  <c r="H59" i="3"/>
  <c r="H58" i="3"/>
  <c r="H57" i="3"/>
  <c r="J57" i="3" s="1"/>
  <c r="H56" i="3"/>
  <c r="H55" i="3"/>
  <c r="H54" i="3"/>
  <c r="H53" i="3"/>
  <c r="H52" i="3"/>
  <c r="H50" i="3"/>
  <c r="H49" i="3"/>
  <c r="H48" i="3"/>
  <c r="J48" i="3" s="1"/>
  <c r="H47" i="3"/>
  <c r="J47" i="3" s="1"/>
  <c r="J61" i="3"/>
  <c r="J60" i="3"/>
  <c r="J59" i="3"/>
  <c r="J58" i="3"/>
  <c r="J56" i="3"/>
  <c r="J55" i="3"/>
  <c r="J54" i="3"/>
  <c r="J53" i="3"/>
  <c r="J52" i="3"/>
  <c r="J50" i="3"/>
  <c r="J49" i="3"/>
  <c r="G60" i="3" l="1"/>
  <c r="J37" i="13" l="1"/>
  <c r="J36" i="13"/>
  <c r="I37" i="13"/>
  <c r="I36" i="13"/>
  <c r="H19" i="13"/>
  <c r="I19" i="13"/>
  <c r="J19" i="13"/>
  <c r="L38" i="11" l="1"/>
  <c r="L37" i="11"/>
  <c r="J34" i="31"/>
  <c r="I34" i="31"/>
  <c r="J33" i="31"/>
  <c r="I33" i="31"/>
  <c r="G34" i="31"/>
  <c r="G33" i="31"/>
  <c r="F34" i="31"/>
  <c r="F33" i="31"/>
  <c r="H38" i="20"/>
  <c r="H37" i="20"/>
  <c r="J34" i="19"/>
  <c r="I34" i="19"/>
  <c r="H34" i="19"/>
  <c r="G34" i="19"/>
  <c r="J33" i="19"/>
  <c r="I33" i="19"/>
  <c r="H33" i="19"/>
  <c r="G33" i="19"/>
  <c r="F34" i="19"/>
  <c r="F33" i="19"/>
  <c r="G73" i="12"/>
  <c r="F73" i="12"/>
  <c r="E73" i="12"/>
  <c r="G72" i="12"/>
  <c r="F72" i="12"/>
  <c r="E72" i="12"/>
  <c r="M34" i="12"/>
  <c r="L34" i="12"/>
  <c r="K34" i="12"/>
  <c r="M33" i="12"/>
  <c r="L33" i="12"/>
  <c r="K33" i="12"/>
  <c r="G34" i="12"/>
  <c r="F34" i="12"/>
  <c r="G33" i="12"/>
  <c r="F33" i="12"/>
  <c r="E34" i="12"/>
  <c r="E33" i="12"/>
  <c r="M35" i="5"/>
  <c r="L35" i="5"/>
  <c r="J35" i="5"/>
  <c r="M34" i="5"/>
  <c r="L34" i="5"/>
  <c r="J34" i="5"/>
  <c r="F35" i="5"/>
  <c r="E35" i="5"/>
  <c r="F34" i="5"/>
  <c r="E34" i="5"/>
  <c r="D35" i="5"/>
  <c r="D34" i="5"/>
  <c r="J33" i="8"/>
  <c r="I33" i="8"/>
  <c r="J32" i="8"/>
  <c r="I32" i="8"/>
  <c r="G33" i="8"/>
  <c r="G32" i="8"/>
  <c r="D16" i="8"/>
  <c r="D17" i="8"/>
  <c r="D18" i="8"/>
  <c r="D19" i="8"/>
  <c r="D20" i="8"/>
  <c r="D21" i="8"/>
  <c r="D22" i="8"/>
  <c r="D23" i="8"/>
  <c r="D24" i="8"/>
  <c r="D25" i="8"/>
  <c r="D26" i="8"/>
  <c r="D27" i="8"/>
  <c r="D28" i="8"/>
  <c r="D29" i="8"/>
  <c r="D30" i="8"/>
  <c r="D15" i="8"/>
  <c r="K34" i="27" l="1"/>
  <c r="J34" i="27"/>
  <c r="I34" i="27"/>
  <c r="H34" i="27"/>
  <c r="G34" i="27"/>
  <c r="F34" i="27"/>
  <c r="K33" i="27"/>
  <c r="J33" i="27"/>
  <c r="I33" i="27"/>
  <c r="H33" i="27"/>
  <c r="G33" i="27"/>
  <c r="F33" i="27"/>
  <c r="E34" i="27"/>
  <c r="E33" i="27"/>
  <c r="K34" i="17"/>
  <c r="J34" i="17"/>
  <c r="I34" i="17"/>
  <c r="H34" i="17"/>
  <c r="G34" i="17"/>
  <c r="F34" i="17"/>
  <c r="K33" i="17"/>
  <c r="J33" i="17"/>
  <c r="I33" i="17"/>
  <c r="H33" i="17"/>
  <c r="G33" i="17"/>
  <c r="F33" i="17"/>
  <c r="E34" i="17"/>
  <c r="E33" i="17"/>
  <c r="F17" i="17"/>
  <c r="I35" i="14"/>
  <c r="I34" i="14"/>
  <c r="I36" i="14"/>
  <c r="H35" i="14"/>
  <c r="H34" i="14"/>
  <c r="E88" i="24"/>
  <c r="E87" i="24"/>
  <c r="G61" i="3"/>
  <c r="G59" i="3"/>
  <c r="F61" i="3" l="1"/>
  <c r="G62" i="3"/>
  <c r="E35" i="11"/>
  <c r="D35" i="11"/>
  <c r="J36" i="3"/>
  <c r="H36" i="3"/>
  <c r="E34" i="11"/>
  <c r="D34" i="11"/>
  <c r="G58" i="3"/>
  <c r="J35" i="3"/>
  <c r="E33" i="11"/>
  <c r="D33" i="11"/>
  <c r="J34" i="3"/>
  <c r="E32" i="11"/>
  <c r="D32" i="11"/>
  <c r="J33" i="3"/>
  <c r="G57" i="3"/>
  <c r="J32" i="3"/>
  <c r="E30" i="11"/>
  <c r="D30" i="11"/>
  <c r="E29" i="11"/>
  <c r="D29" i="11"/>
  <c r="G56" i="3"/>
  <c r="J31" i="3"/>
  <c r="G55" i="3"/>
  <c r="J30" i="3"/>
  <c r="H30" i="3"/>
  <c r="J29" i="3"/>
  <c r="G54" i="3" s="1"/>
  <c r="I29" i="3"/>
  <c r="G53" i="3"/>
  <c r="J28" i="3"/>
  <c r="G52" i="3"/>
  <c r="J27" i="3"/>
  <c r="D25" i="11"/>
  <c r="C23" i="13"/>
  <c r="G51" i="3"/>
  <c r="J26" i="3"/>
  <c r="G50" i="3" l="1"/>
  <c r="J25" i="3"/>
  <c r="H25" i="3"/>
  <c r="G49" i="3"/>
  <c r="E22" i="11"/>
  <c r="D22" i="11"/>
  <c r="J24" i="3"/>
  <c r="D21" i="11"/>
  <c r="E21" i="11"/>
  <c r="G48" i="3"/>
  <c r="J23" i="3"/>
  <c r="E22" i="29"/>
  <c r="J22" i="3" l="1"/>
  <c r="G47" i="3" s="1"/>
  <c r="G31" i="10" l="1"/>
  <c r="F93" i="24"/>
  <c r="E16" i="35" s="1"/>
  <c r="E29" i="35" s="1"/>
  <c r="E90" i="24"/>
  <c r="E89" i="24"/>
  <c r="D86" i="24"/>
  <c r="F86" i="24" s="1"/>
  <c r="D85" i="24"/>
  <c r="F85" i="24" s="1"/>
  <c r="D84" i="24"/>
  <c r="F84" i="24" s="1"/>
  <c r="F83" i="24"/>
  <c r="D83" i="24"/>
  <c r="D82" i="24"/>
  <c r="F82" i="24" s="1"/>
  <c r="D81" i="24"/>
  <c r="F81" i="24" s="1"/>
  <c r="D80" i="24"/>
  <c r="F80" i="24" s="1"/>
  <c r="D79" i="24"/>
  <c r="F79" i="24" s="1"/>
  <c r="B46" i="35"/>
  <c r="E46" i="35" s="1"/>
  <c r="A46" i="35"/>
  <c r="D23" i="7"/>
  <c r="A16" i="6"/>
  <c r="D16" i="7"/>
  <c r="D15" i="10"/>
  <c r="A6" i="31"/>
  <c r="A6" i="20"/>
  <c r="A6" i="19"/>
  <c r="B58" i="35"/>
  <c r="E58" i="35" s="1"/>
  <c r="A59" i="35"/>
  <c r="A58" i="35"/>
  <c r="A57" i="35"/>
  <c r="A48" i="35"/>
  <c r="A47" i="35"/>
  <c r="A45" i="35"/>
  <c r="B48" i="35"/>
  <c r="E48" i="35" s="1"/>
  <c r="B47" i="35"/>
  <c r="E47" i="35" s="1"/>
  <c r="A6" i="35"/>
  <c r="A6" i="34"/>
  <c r="A7" i="24"/>
  <c r="A6" i="12"/>
  <c r="A6" i="5"/>
  <c r="A6" i="8"/>
  <c r="A9" i="29"/>
  <c r="A8" i="11"/>
  <c r="A8" i="14"/>
  <c r="A6" i="13"/>
  <c r="A6" i="27"/>
  <c r="A6" i="17"/>
  <c r="C16" i="35"/>
  <c r="C42" i="35" s="1"/>
  <c r="B61" i="35"/>
  <c r="E61" i="35" s="1"/>
  <c r="B59" i="35"/>
  <c r="E59" i="35" s="1"/>
  <c r="B57" i="35"/>
  <c r="E57" i="35" s="1"/>
  <c r="B55" i="35"/>
  <c r="E55" i="35" s="1"/>
  <c r="B54" i="35"/>
  <c r="E54" i="35" s="1"/>
  <c r="B52" i="35"/>
  <c r="E52" i="35" s="1"/>
  <c r="B50" i="35"/>
  <c r="E50" i="35" s="1"/>
  <c r="B45" i="35"/>
  <c r="E45" i="35" s="1"/>
  <c r="B43" i="35"/>
  <c r="E43" i="35" s="1"/>
  <c r="B42" i="35"/>
  <c r="E42" i="35" s="1"/>
  <c r="D43" i="34"/>
  <c r="D42" i="34"/>
  <c r="D41" i="34"/>
  <c r="D40" i="34"/>
  <c r="D89" i="24" l="1"/>
  <c r="F89" i="24" s="1"/>
  <c r="D90" i="24"/>
  <c r="F90" i="24" s="1"/>
  <c r="C20" i="35"/>
  <c r="D35" i="35"/>
  <c r="E21" i="35"/>
  <c r="F47" i="35" s="1"/>
  <c r="C21" i="35"/>
  <c r="D16" i="35"/>
  <c r="F16" i="35" s="1"/>
  <c r="D14" i="34" s="1"/>
  <c r="C22" i="35"/>
  <c r="E22" i="35"/>
  <c r="F48" i="35" s="1"/>
  <c r="E26" i="35"/>
  <c r="F52" i="35" s="1"/>
  <c r="E17" i="35"/>
  <c r="E20" i="35" s="1"/>
  <c r="F46" i="35" s="1"/>
  <c r="E28" i="35"/>
  <c r="F54" i="35" s="1"/>
  <c r="E33" i="35"/>
  <c r="F59" i="35" s="1"/>
  <c r="E19" i="35"/>
  <c r="F45" i="35" s="1"/>
  <c r="E24" i="35"/>
  <c r="F50" i="35" s="1"/>
  <c r="E31" i="35"/>
  <c r="F57" i="35" s="1"/>
  <c r="D42" i="35"/>
  <c r="C17" i="35"/>
  <c r="C32" i="35" s="1"/>
  <c r="C19" i="35"/>
  <c r="C45" i="35" s="1"/>
  <c r="C24" i="35"/>
  <c r="C26" i="35"/>
  <c r="C28" i="35"/>
  <c r="C29" i="35"/>
  <c r="C31" i="35"/>
  <c r="C33" i="35"/>
  <c r="F42" i="35"/>
  <c r="F55" i="35"/>
  <c r="D20" i="35" l="1"/>
  <c r="F20" i="35" s="1"/>
  <c r="D17" i="34" s="1"/>
  <c r="C46" i="35"/>
  <c r="D46" i="35" s="1"/>
  <c r="G46" i="35" s="1"/>
  <c r="D30" i="34" s="1"/>
  <c r="F43" i="35"/>
  <c r="E32" i="35"/>
  <c r="F58" i="35" s="1"/>
  <c r="D32" i="35"/>
  <c r="C58" i="35"/>
  <c r="D58" i="35" s="1"/>
  <c r="F35" i="35"/>
  <c r="D22" i="35"/>
  <c r="F22" i="35" s="1"/>
  <c r="D19" i="34" s="1"/>
  <c r="C48" i="35"/>
  <c r="D48" i="35" s="1"/>
  <c r="G48" i="35" s="1"/>
  <c r="D32" i="34" s="1"/>
  <c r="D21" i="35"/>
  <c r="F21" i="35" s="1"/>
  <c r="D18" i="34" s="1"/>
  <c r="C47" i="35"/>
  <c r="D47" i="35" s="1"/>
  <c r="G47" i="35" s="1"/>
  <c r="D31" i="34" s="1"/>
  <c r="G42" i="35"/>
  <c r="D27" i="34" s="1"/>
  <c r="C55" i="35"/>
  <c r="D55" i="35" s="1"/>
  <c r="G55" i="35" s="1"/>
  <c r="D36" i="34" s="1"/>
  <c r="D29" i="35"/>
  <c r="F29" i="35" s="1"/>
  <c r="D23" i="34" s="1"/>
  <c r="C59" i="35"/>
  <c r="D59" i="35" s="1"/>
  <c r="G59" i="35" s="1"/>
  <c r="D39" i="34" s="1"/>
  <c r="D45" i="35"/>
  <c r="G45" i="35" s="1"/>
  <c r="D29" i="34" s="1"/>
  <c r="D19" i="35"/>
  <c r="F19" i="35" s="1"/>
  <c r="D16" i="34" s="1"/>
  <c r="D28" i="35"/>
  <c r="F28" i="35" s="1"/>
  <c r="D22" i="34" s="1"/>
  <c r="C54" i="35"/>
  <c r="D54" i="35" s="1"/>
  <c r="G54" i="35" s="1"/>
  <c r="D35" i="34" s="1"/>
  <c r="D17" i="35"/>
  <c r="F17" i="35" s="1"/>
  <c r="D15" i="34" s="1"/>
  <c r="C43" i="35"/>
  <c r="D43" i="35" s="1"/>
  <c r="D33" i="35"/>
  <c r="F33" i="35" s="1"/>
  <c r="D26" i="34" s="1"/>
  <c r="C61" i="35"/>
  <c r="D61" i="35" s="1"/>
  <c r="G61" i="35" s="1"/>
  <c r="C52" i="35"/>
  <c r="D52" i="35" s="1"/>
  <c r="G52" i="35" s="1"/>
  <c r="D34" i="34" s="1"/>
  <c r="D26" i="35"/>
  <c r="F26" i="35" s="1"/>
  <c r="D21" i="34" s="1"/>
  <c r="D31" i="35"/>
  <c r="F31" i="35" s="1"/>
  <c r="D24" i="34" s="1"/>
  <c r="C57" i="35"/>
  <c r="D57" i="35" s="1"/>
  <c r="G57" i="35" s="1"/>
  <c r="D37" i="34" s="1"/>
  <c r="D24" i="35"/>
  <c r="F24" i="35" s="1"/>
  <c r="D20" i="34" s="1"/>
  <c r="C50" i="35"/>
  <c r="D50" i="35" s="1"/>
  <c r="G50" i="35" s="1"/>
  <c r="D33" i="34" s="1"/>
  <c r="C23" i="11"/>
  <c r="C24" i="11"/>
  <c r="C25" i="11"/>
  <c r="C26" i="11"/>
  <c r="C27" i="11"/>
  <c r="C28" i="11"/>
  <c r="C29" i="11"/>
  <c r="C30" i="11"/>
  <c r="C31" i="11"/>
  <c r="C32" i="11"/>
  <c r="C33" i="11"/>
  <c r="C34" i="11"/>
  <c r="C35" i="11"/>
  <c r="C21" i="11"/>
  <c r="C22" i="11"/>
  <c r="C20" i="11"/>
  <c r="F32" i="35" l="1"/>
  <c r="D25" i="34" s="1"/>
  <c r="D46" i="34" s="1"/>
  <c r="G58" i="35"/>
  <c r="D38" i="34" s="1"/>
  <c r="G43" i="35"/>
  <c r="D28" i="34" s="1"/>
  <c r="D47" i="34" s="1"/>
  <c r="D49" i="34"/>
  <c r="F21" i="20"/>
  <c r="D45" i="34" l="1"/>
  <c r="D48" i="34"/>
  <c r="F33" i="20"/>
  <c r="F29" i="20"/>
  <c r="F25" i="20"/>
  <c r="F36" i="20"/>
  <c r="F32" i="20"/>
  <c r="F28" i="20"/>
  <c r="F24" i="20"/>
  <c r="F30" i="20"/>
  <c r="F35" i="20"/>
  <c r="F31" i="20"/>
  <c r="F27" i="20"/>
  <c r="F23" i="20"/>
  <c r="F34" i="20"/>
  <c r="F26" i="20"/>
  <c r="F22" i="20"/>
  <c r="G24" i="24"/>
  <c r="G34" i="13"/>
  <c r="F34" i="13"/>
  <c r="G33" i="13"/>
  <c r="G32" i="13"/>
  <c r="G31" i="13"/>
  <c r="G30" i="13"/>
  <c r="G29" i="13"/>
  <c r="G28" i="13"/>
  <c r="G27" i="13"/>
  <c r="G26" i="13"/>
  <c r="G25" i="13"/>
  <c r="G24" i="13"/>
  <c r="G23" i="13"/>
  <c r="G22" i="13"/>
  <c r="G21" i="13"/>
  <c r="G20" i="13"/>
  <c r="G19" i="13"/>
  <c r="F27" i="13" l="1"/>
  <c r="F26" i="13"/>
  <c r="F25" i="13"/>
  <c r="F29" i="13"/>
  <c r="F28" i="13"/>
  <c r="F22" i="13"/>
  <c r="F24" i="13"/>
  <c r="F30" i="13"/>
  <c r="F31" i="13"/>
  <c r="F23" i="13"/>
  <c r="F21" i="13"/>
  <c r="F32" i="13"/>
  <c r="E62" i="3"/>
  <c r="F33" i="13"/>
  <c r="F20" i="13"/>
  <c r="F19" i="13"/>
  <c r="E49" i="29"/>
  <c r="C61" i="3"/>
  <c r="E36" i="20"/>
  <c r="E35" i="20"/>
  <c r="E34" i="20"/>
  <c r="E33" i="20"/>
  <c r="E32" i="20"/>
  <c r="E31" i="20"/>
  <c r="E30" i="20"/>
  <c r="E29" i="20"/>
  <c r="E28" i="20"/>
  <c r="E27" i="20"/>
  <c r="E26" i="20"/>
  <c r="E25" i="20"/>
  <c r="E24" i="20"/>
  <c r="E23" i="20"/>
  <c r="E22"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A36" i="20"/>
  <c r="A35" i="20"/>
  <c r="A34" i="20"/>
  <c r="A33" i="20"/>
  <c r="A32" i="20"/>
  <c r="A31" i="20"/>
  <c r="A30" i="20"/>
  <c r="A29" i="20"/>
  <c r="A28" i="20"/>
  <c r="A27" i="20"/>
  <c r="A26" i="20"/>
  <c r="A25" i="20"/>
  <c r="A24" i="20"/>
  <c r="A23" i="20"/>
  <c r="A22" i="20"/>
  <c r="A21" i="20"/>
  <c r="D32" i="19"/>
  <c r="D31" i="19"/>
  <c r="D30" i="19"/>
  <c r="D29" i="19"/>
  <c r="D28" i="19"/>
  <c r="D27" i="19"/>
  <c r="D26" i="19"/>
  <c r="D25" i="19"/>
  <c r="D24" i="19"/>
  <c r="D23" i="19"/>
  <c r="D22" i="19"/>
  <c r="D21" i="19"/>
  <c r="D20" i="19"/>
  <c r="D19" i="19"/>
  <c r="D18" i="19"/>
  <c r="C32" i="19"/>
  <c r="B32" i="19"/>
  <c r="A32" i="19"/>
  <c r="C31" i="19"/>
  <c r="B31" i="19"/>
  <c r="A31" i="19"/>
  <c r="C30" i="19"/>
  <c r="B30" i="19"/>
  <c r="A30" i="19"/>
  <c r="C29" i="19"/>
  <c r="B29" i="19"/>
  <c r="A29" i="19"/>
  <c r="C28" i="19"/>
  <c r="B28" i="19"/>
  <c r="A28" i="19"/>
  <c r="C27" i="19"/>
  <c r="B27" i="19"/>
  <c r="A27" i="19"/>
  <c r="C26" i="19"/>
  <c r="B26" i="19"/>
  <c r="A26" i="19"/>
  <c r="C25" i="19"/>
  <c r="B25" i="19"/>
  <c r="A25" i="19"/>
  <c r="C24" i="19"/>
  <c r="B24" i="19"/>
  <c r="A24" i="19"/>
  <c r="C23" i="19"/>
  <c r="B23" i="19"/>
  <c r="A23" i="19"/>
  <c r="C22" i="19"/>
  <c r="B22" i="19"/>
  <c r="A22" i="19"/>
  <c r="C21" i="19"/>
  <c r="B21" i="19"/>
  <c r="A21" i="19"/>
  <c r="C20" i="19"/>
  <c r="B20" i="19"/>
  <c r="A20" i="19"/>
  <c r="C19" i="19"/>
  <c r="B19" i="19"/>
  <c r="A19" i="19"/>
  <c r="C18" i="19"/>
  <c r="B18" i="19"/>
  <c r="A18" i="19"/>
  <c r="C17" i="19"/>
  <c r="B17" i="19"/>
  <c r="A17" i="19"/>
  <c r="E21" i="20"/>
  <c r="C31" i="12" l="1"/>
  <c r="A31" i="12"/>
  <c r="C30" i="12"/>
  <c r="A30" i="12"/>
  <c r="C29" i="12"/>
  <c r="A29" i="12"/>
  <c r="C28" i="12"/>
  <c r="A28" i="12"/>
  <c r="C27" i="12"/>
  <c r="A27" i="12"/>
  <c r="C26" i="12"/>
  <c r="A26" i="12"/>
  <c r="C25" i="12"/>
  <c r="A25" i="12"/>
  <c r="C24" i="12"/>
  <c r="A24" i="12"/>
  <c r="C23" i="12"/>
  <c r="A23" i="12"/>
  <c r="C22" i="12"/>
  <c r="A22" i="12"/>
  <c r="C21" i="12"/>
  <c r="A21" i="12"/>
  <c r="C20" i="12"/>
  <c r="A20" i="12"/>
  <c r="C19" i="12"/>
  <c r="A19" i="12"/>
  <c r="C18" i="12"/>
  <c r="A18" i="12"/>
  <c r="C17" i="12"/>
  <c r="A17" i="12"/>
  <c r="C16" i="12"/>
  <c r="A16" i="12"/>
  <c r="C70" i="12"/>
  <c r="A70" i="12"/>
  <c r="C69" i="12"/>
  <c r="A69" i="12"/>
  <c r="C68" i="12"/>
  <c r="A68" i="12"/>
  <c r="C67" i="12"/>
  <c r="A67" i="12"/>
  <c r="C66" i="12"/>
  <c r="A66" i="12"/>
  <c r="C65" i="12"/>
  <c r="A65" i="12"/>
  <c r="C64" i="12"/>
  <c r="A64" i="12"/>
  <c r="C63" i="12"/>
  <c r="A63" i="12"/>
  <c r="C62" i="12"/>
  <c r="A62" i="12"/>
  <c r="C61" i="12"/>
  <c r="A61" i="12"/>
  <c r="C60" i="12"/>
  <c r="A60" i="12"/>
  <c r="C59" i="12"/>
  <c r="A59" i="12"/>
  <c r="C58" i="12"/>
  <c r="A58" i="12"/>
  <c r="C57" i="12"/>
  <c r="A57" i="12"/>
  <c r="C56" i="12"/>
  <c r="A56" i="12"/>
  <c r="C55" i="12"/>
  <c r="A55" i="12"/>
  <c r="E60" i="29" l="1"/>
  <c r="E58" i="29"/>
  <c r="D58" i="29"/>
  <c r="D57" i="29"/>
  <c r="D62" i="3" l="1"/>
  <c r="E32" i="19" s="1"/>
  <c r="C62" i="3"/>
  <c r="B62" i="3"/>
  <c r="B61" i="3"/>
  <c r="D60" i="3"/>
  <c r="E30" i="19" s="1"/>
  <c r="C60" i="3"/>
  <c r="B60" i="3"/>
  <c r="D59" i="3"/>
  <c r="E29" i="19" s="1"/>
  <c r="C59" i="3"/>
  <c r="B59" i="3"/>
  <c r="D58" i="3"/>
  <c r="E28" i="19" s="1"/>
  <c r="C58" i="3"/>
  <c r="B58" i="3"/>
  <c r="D57" i="3"/>
  <c r="E27" i="19" s="1"/>
  <c r="C57" i="3"/>
  <c r="B57" i="3"/>
  <c r="D56" i="3"/>
  <c r="E26" i="19" s="1"/>
  <c r="C56" i="3"/>
  <c r="B56" i="3"/>
  <c r="C55" i="3"/>
  <c r="B55" i="3"/>
  <c r="D54" i="3"/>
  <c r="E24" i="19" s="1"/>
  <c r="C54" i="3"/>
  <c r="B54" i="3"/>
  <c r="G36" i="8" l="1"/>
  <c r="G35" i="8"/>
  <c r="G34" i="8"/>
  <c r="D70" i="12" l="1"/>
  <c r="F70" i="12" s="1"/>
  <c r="G70" i="12" s="1"/>
  <c r="D69" i="12"/>
  <c r="F69" i="12" s="1"/>
  <c r="G69" i="12" s="1"/>
  <c r="D68" i="12"/>
  <c r="F68" i="12" s="1"/>
  <c r="G68" i="12" s="1"/>
  <c r="D67" i="12"/>
  <c r="F67" i="12" s="1"/>
  <c r="G67" i="12" s="1"/>
  <c r="D66" i="12"/>
  <c r="F66" i="12" s="1"/>
  <c r="G66" i="12" s="1"/>
  <c r="D65" i="12"/>
  <c r="F65" i="12" s="1"/>
  <c r="G65" i="12" s="1"/>
  <c r="D64" i="12"/>
  <c r="F64" i="12" s="1"/>
  <c r="G64" i="12" s="1"/>
  <c r="D63" i="12"/>
  <c r="F63" i="12" s="1"/>
  <c r="G63" i="12" s="1"/>
  <c r="D62" i="12"/>
  <c r="F62" i="12" s="1"/>
  <c r="G62" i="12" s="1"/>
  <c r="D61" i="12"/>
  <c r="F61" i="12" s="1"/>
  <c r="G61" i="12" s="1"/>
  <c r="D60" i="12"/>
  <c r="F60" i="12" s="1"/>
  <c r="G60" i="12" s="1"/>
  <c r="D59" i="12"/>
  <c r="F59" i="12" s="1"/>
  <c r="G59" i="12" s="1"/>
  <c r="D58" i="12"/>
  <c r="F58" i="12" s="1"/>
  <c r="G58" i="12" s="1"/>
  <c r="D57" i="12"/>
  <c r="F57" i="12" s="1"/>
  <c r="G57" i="12" s="1"/>
  <c r="D56" i="12"/>
  <c r="D55" i="12"/>
  <c r="F55" i="12" s="1"/>
  <c r="G55" i="12" s="1"/>
  <c r="E75" i="12"/>
  <c r="E74" i="12"/>
  <c r="F56" i="12" l="1"/>
  <c r="G56" i="12" s="1"/>
  <c r="G74" i="12" s="1"/>
  <c r="F74" i="12" l="1"/>
  <c r="G75" i="12"/>
  <c r="F75" i="12"/>
  <c r="F31" i="3" l="1"/>
  <c r="A29" i="8"/>
  <c r="D31" i="31"/>
  <c r="C31" i="31"/>
  <c r="B31" i="31"/>
  <c r="D30" i="31"/>
  <c r="C30" i="31"/>
  <c r="B30" i="31"/>
  <c r="D29" i="31"/>
  <c r="C29" i="31"/>
  <c r="B29" i="31"/>
  <c r="D28" i="31"/>
  <c r="C28" i="31"/>
  <c r="B28" i="31"/>
  <c r="D27" i="31"/>
  <c r="C27" i="31"/>
  <c r="B27" i="31"/>
  <c r="D26" i="31"/>
  <c r="C26" i="31"/>
  <c r="B26" i="31"/>
  <c r="D25" i="31"/>
  <c r="C25" i="31"/>
  <c r="B25" i="31"/>
  <c r="D24" i="31"/>
  <c r="C24" i="31"/>
  <c r="B24" i="31"/>
  <c r="D23" i="31"/>
  <c r="C23" i="31"/>
  <c r="B23" i="31"/>
  <c r="D22" i="31"/>
  <c r="C22" i="31"/>
  <c r="B22" i="31"/>
  <c r="D21" i="31"/>
  <c r="C21" i="31"/>
  <c r="B21" i="31"/>
  <c r="D20" i="31"/>
  <c r="C20" i="31"/>
  <c r="B20" i="31"/>
  <c r="D19" i="31"/>
  <c r="C19" i="31"/>
  <c r="B19" i="31"/>
  <c r="D18" i="31"/>
  <c r="C18" i="31"/>
  <c r="B18" i="31"/>
  <c r="D17" i="31"/>
  <c r="C17" i="31"/>
  <c r="B17" i="31"/>
  <c r="D16" i="31"/>
  <c r="C16" i="31"/>
  <c r="B16" i="31"/>
  <c r="F16" i="31" l="1"/>
  <c r="G16" i="31" s="1"/>
  <c r="I16" i="31"/>
  <c r="J16" i="31" s="1"/>
  <c r="F20" i="31"/>
  <c r="G20" i="31" s="1"/>
  <c r="I20" i="31"/>
  <c r="J20" i="31" s="1"/>
  <c r="F24" i="31"/>
  <c r="G24" i="31" s="1"/>
  <c r="I24" i="31"/>
  <c r="J24" i="31" s="1"/>
  <c r="F27" i="31"/>
  <c r="G27" i="31" s="1"/>
  <c r="I27" i="31"/>
  <c r="J27" i="31" s="1"/>
  <c r="F19" i="31"/>
  <c r="G19" i="31" s="1"/>
  <c r="I19" i="31"/>
  <c r="J19" i="31" s="1"/>
  <c r="F23" i="31"/>
  <c r="G23" i="31" s="1"/>
  <c r="I23" i="31"/>
  <c r="J23" i="31" s="1"/>
  <c r="F30" i="31"/>
  <c r="G30" i="31" s="1"/>
  <c r="I30" i="31"/>
  <c r="J30" i="31" s="1"/>
  <c r="F18" i="31"/>
  <c r="G18" i="31" s="1"/>
  <c r="I18" i="31"/>
  <c r="J18" i="31" s="1"/>
  <c r="F22" i="31"/>
  <c r="G22" i="31" s="1"/>
  <c r="I22" i="31"/>
  <c r="J22" i="31" s="1"/>
  <c r="F26" i="31"/>
  <c r="G26" i="31" s="1"/>
  <c r="I26" i="31"/>
  <c r="J26" i="31" s="1"/>
  <c r="F29" i="31"/>
  <c r="G29" i="31" s="1"/>
  <c r="I29" i="31"/>
  <c r="J29" i="31" s="1"/>
  <c r="F31" i="31"/>
  <c r="G31" i="31" s="1"/>
  <c r="I31" i="31"/>
  <c r="J31" i="31" s="1"/>
  <c r="F17" i="31"/>
  <c r="G17" i="31" s="1"/>
  <c r="I17" i="31"/>
  <c r="J17" i="31" s="1"/>
  <c r="F21" i="31"/>
  <c r="G21" i="31" s="1"/>
  <c r="I21" i="31"/>
  <c r="J21" i="31" s="1"/>
  <c r="F25" i="31"/>
  <c r="G25" i="31" s="1"/>
  <c r="I25" i="31"/>
  <c r="J25" i="31" s="1"/>
  <c r="F28" i="31"/>
  <c r="G28" i="31" s="1"/>
  <c r="I28" i="31"/>
  <c r="J28" i="31" s="1"/>
  <c r="G36" i="31" l="1"/>
  <c r="G35" i="31"/>
  <c r="J36" i="31"/>
  <c r="J35" i="31"/>
  <c r="F36" i="31"/>
  <c r="F35" i="31"/>
  <c r="I35" i="31"/>
  <c r="I36" i="31"/>
  <c r="C30" i="8"/>
  <c r="B30" i="8"/>
  <c r="A30" i="8"/>
  <c r="C29" i="8"/>
  <c r="B29" i="8"/>
  <c r="C28" i="8"/>
  <c r="B28" i="8"/>
  <c r="A28" i="8"/>
  <c r="C27" i="8"/>
  <c r="B27" i="8"/>
  <c r="A27" i="8"/>
  <c r="C26" i="8"/>
  <c r="B26" i="8"/>
  <c r="A26" i="8"/>
  <c r="C25" i="8"/>
  <c r="B25" i="8"/>
  <c r="A25" i="8"/>
  <c r="C24" i="8"/>
  <c r="B24" i="8"/>
  <c r="A24" i="8"/>
  <c r="C23" i="8"/>
  <c r="B23" i="8"/>
  <c r="A23" i="8"/>
  <c r="C22" i="8"/>
  <c r="B22" i="8"/>
  <c r="A22" i="8"/>
  <c r="C21" i="8"/>
  <c r="B21" i="8"/>
  <c r="A21" i="8"/>
  <c r="C20" i="8"/>
  <c r="B20" i="8"/>
  <c r="A20" i="8"/>
  <c r="C19" i="8"/>
  <c r="B19" i="8"/>
  <c r="A19" i="8"/>
  <c r="C18" i="8"/>
  <c r="B18" i="8"/>
  <c r="A18" i="8"/>
  <c r="C17" i="8"/>
  <c r="B17" i="8"/>
  <c r="A17" i="8"/>
  <c r="C16" i="8"/>
  <c r="B16" i="8"/>
  <c r="A16" i="8"/>
  <c r="C15" i="8"/>
  <c r="B15" i="8"/>
  <c r="A15" i="8"/>
  <c r="B34" i="13"/>
  <c r="A34" i="13"/>
  <c r="B33" i="13"/>
  <c r="A33" i="13"/>
  <c r="B32" i="13"/>
  <c r="A32" i="13"/>
  <c r="B31" i="13"/>
  <c r="A31" i="13"/>
  <c r="B30" i="13"/>
  <c r="A30" i="13"/>
  <c r="B29" i="13"/>
  <c r="A29" i="13"/>
  <c r="B28" i="13"/>
  <c r="A28" i="13"/>
  <c r="B27" i="13"/>
  <c r="A27" i="13"/>
  <c r="B26" i="13"/>
  <c r="A26" i="13"/>
  <c r="B25" i="13"/>
  <c r="A25" i="13"/>
  <c r="B24" i="13"/>
  <c r="A24" i="13"/>
  <c r="B23" i="13"/>
  <c r="A23" i="13"/>
  <c r="B22" i="13"/>
  <c r="A22" i="13"/>
  <c r="B21" i="13"/>
  <c r="A21" i="13"/>
  <c r="B20" i="13"/>
  <c r="A20" i="13"/>
  <c r="B19" i="13"/>
  <c r="A19" i="13"/>
  <c r="C31" i="27"/>
  <c r="B31" i="27"/>
  <c r="A31" i="27"/>
  <c r="C30" i="27"/>
  <c r="B30" i="27"/>
  <c r="A30" i="27"/>
  <c r="C29" i="27"/>
  <c r="B29" i="27"/>
  <c r="A29" i="27"/>
  <c r="C28" i="27"/>
  <c r="B28" i="27"/>
  <c r="A28" i="27"/>
  <c r="C27" i="27"/>
  <c r="B27" i="27"/>
  <c r="A27" i="27"/>
  <c r="C26" i="27"/>
  <c r="B26" i="27"/>
  <c r="A26" i="27"/>
  <c r="C25" i="27"/>
  <c r="B25" i="27"/>
  <c r="A25" i="27"/>
  <c r="C24" i="27"/>
  <c r="B24" i="27"/>
  <c r="A24" i="27"/>
  <c r="C23" i="27"/>
  <c r="B23" i="27"/>
  <c r="A23" i="27"/>
  <c r="C22" i="27"/>
  <c r="B22" i="27"/>
  <c r="A22" i="27"/>
  <c r="C21" i="27"/>
  <c r="B21" i="27"/>
  <c r="A21" i="27"/>
  <c r="C20" i="27"/>
  <c r="B20" i="27"/>
  <c r="A20" i="27"/>
  <c r="C19" i="27"/>
  <c r="B19" i="27"/>
  <c r="A19" i="27"/>
  <c r="C18" i="27"/>
  <c r="B18" i="27"/>
  <c r="A18" i="27"/>
  <c r="C17" i="27"/>
  <c r="B17" i="27"/>
  <c r="A17" i="27"/>
  <c r="C16" i="27"/>
  <c r="B16" i="27"/>
  <c r="A16" i="27"/>
  <c r="C31" i="17"/>
  <c r="B31" i="17"/>
  <c r="A31" i="17"/>
  <c r="C30" i="17"/>
  <c r="B30" i="17"/>
  <c r="A30" i="17"/>
  <c r="C29" i="17"/>
  <c r="B29" i="17"/>
  <c r="A29" i="17"/>
  <c r="C28" i="17"/>
  <c r="B28" i="17"/>
  <c r="A28" i="17"/>
  <c r="C27" i="17"/>
  <c r="B27" i="17"/>
  <c r="A27" i="17"/>
  <c r="C26" i="17"/>
  <c r="B26" i="17"/>
  <c r="A26" i="17"/>
  <c r="C25" i="17"/>
  <c r="B25" i="17"/>
  <c r="A25" i="17"/>
  <c r="C24" i="17"/>
  <c r="B24" i="17"/>
  <c r="A24" i="17"/>
  <c r="C23" i="17"/>
  <c r="B23" i="17"/>
  <c r="A23" i="17"/>
  <c r="C22" i="17"/>
  <c r="B22" i="17"/>
  <c r="A22" i="17"/>
  <c r="C21" i="17"/>
  <c r="B21" i="17"/>
  <c r="A21" i="17"/>
  <c r="C20" i="17"/>
  <c r="B20" i="17"/>
  <c r="A20" i="17"/>
  <c r="C19" i="17"/>
  <c r="B19" i="17"/>
  <c r="A19" i="17"/>
  <c r="C18" i="17"/>
  <c r="B18" i="17"/>
  <c r="A18" i="17"/>
  <c r="C17" i="17"/>
  <c r="B17" i="17"/>
  <c r="A17" i="17"/>
  <c r="C16" i="17"/>
  <c r="B16" i="17"/>
  <c r="A16" i="17"/>
  <c r="C33" i="14"/>
  <c r="B33" i="14"/>
  <c r="A33" i="14"/>
  <c r="C32" i="14"/>
  <c r="B32" i="14"/>
  <c r="A32" i="14"/>
  <c r="C31" i="14"/>
  <c r="B31" i="14"/>
  <c r="A31" i="14"/>
  <c r="C30" i="14"/>
  <c r="B30" i="14"/>
  <c r="A30" i="14"/>
  <c r="C29" i="14"/>
  <c r="B29" i="14"/>
  <c r="A29" i="14"/>
  <c r="C28" i="14"/>
  <c r="B28" i="14"/>
  <c r="A28" i="14"/>
  <c r="C27" i="14"/>
  <c r="B27" i="14"/>
  <c r="A27" i="14"/>
  <c r="C26" i="14"/>
  <c r="B26" i="14"/>
  <c r="A26" i="14"/>
  <c r="C25" i="14"/>
  <c r="B25" i="14"/>
  <c r="A25" i="14"/>
  <c r="C24" i="14"/>
  <c r="B24" i="14"/>
  <c r="A24" i="14"/>
  <c r="C23" i="14"/>
  <c r="B23" i="14"/>
  <c r="A23" i="14"/>
  <c r="C22" i="14"/>
  <c r="B22" i="14"/>
  <c r="A22" i="14"/>
  <c r="C21" i="14"/>
  <c r="B21" i="14"/>
  <c r="A21" i="14"/>
  <c r="C20" i="14"/>
  <c r="B20" i="14"/>
  <c r="A20" i="14"/>
  <c r="C19" i="14"/>
  <c r="B19" i="14"/>
  <c r="A19" i="14"/>
  <c r="C18" i="14"/>
  <c r="B18" i="14"/>
  <c r="A18" i="14"/>
  <c r="B35" i="11"/>
  <c r="A35" i="11"/>
  <c r="B34" i="11"/>
  <c r="A34" i="11"/>
  <c r="B33" i="11"/>
  <c r="A33" i="11"/>
  <c r="B32" i="11"/>
  <c r="A32" i="11"/>
  <c r="B31" i="11"/>
  <c r="A31" i="11"/>
  <c r="B30" i="11"/>
  <c r="A30" i="11"/>
  <c r="B29" i="11"/>
  <c r="A29" i="11"/>
  <c r="B28" i="11"/>
  <c r="A28" i="11"/>
  <c r="B27" i="11"/>
  <c r="A27" i="11"/>
  <c r="B26" i="11"/>
  <c r="A26" i="11"/>
  <c r="B25" i="11"/>
  <c r="A25" i="11"/>
  <c r="B24" i="11"/>
  <c r="A24" i="11"/>
  <c r="B23" i="11"/>
  <c r="A23" i="11"/>
  <c r="B22" i="11"/>
  <c r="A22" i="11"/>
  <c r="B21" i="11"/>
  <c r="A21" i="11"/>
  <c r="B20" i="11"/>
  <c r="A20" i="11"/>
  <c r="C37" i="29"/>
  <c r="B37" i="29"/>
  <c r="A37" i="29"/>
  <c r="C36" i="29"/>
  <c r="B36" i="29"/>
  <c r="A36" i="29"/>
  <c r="C35" i="29"/>
  <c r="B35" i="29"/>
  <c r="A35" i="29"/>
  <c r="C34" i="29"/>
  <c r="B34" i="29"/>
  <c r="A34" i="29"/>
  <c r="C33" i="29"/>
  <c r="B33" i="29"/>
  <c r="A33" i="29"/>
  <c r="C32" i="29"/>
  <c r="B32" i="29"/>
  <c r="A32" i="29"/>
  <c r="C31" i="29"/>
  <c r="B31" i="29"/>
  <c r="A31" i="29"/>
  <c r="C30" i="29"/>
  <c r="B30" i="29"/>
  <c r="A30" i="29"/>
  <c r="C29" i="29"/>
  <c r="B29" i="29"/>
  <c r="A29" i="29"/>
  <c r="C28" i="29"/>
  <c r="B28" i="29"/>
  <c r="A28" i="29"/>
  <c r="C27" i="29"/>
  <c r="B27" i="29"/>
  <c r="A27" i="29"/>
  <c r="C26" i="29"/>
  <c r="B26" i="29"/>
  <c r="A26" i="29"/>
  <c r="C25" i="29"/>
  <c r="B25" i="29"/>
  <c r="A25" i="29"/>
  <c r="C24" i="29"/>
  <c r="B24" i="29"/>
  <c r="A24" i="29"/>
  <c r="C23" i="29"/>
  <c r="B23" i="29"/>
  <c r="A23" i="29"/>
  <c r="C22" i="29"/>
  <c r="B22" i="29"/>
  <c r="A22" i="29"/>
  <c r="C64" i="29"/>
  <c r="B64" i="29"/>
  <c r="A64" i="29"/>
  <c r="C63" i="29"/>
  <c r="B63" i="29"/>
  <c r="A63" i="29"/>
  <c r="C62" i="29"/>
  <c r="B62" i="29"/>
  <c r="A62" i="29"/>
  <c r="C61" i="29"/>
  <c r="B61" i="29"/>
  <c r="A61" i="29"/>
  <c r="C60" i="29"/>
  <c r="B60" i="29"/>
  <c r="A60" i="29"/>
  <c r="C59" i="29"/>
  <c r="B59" i="29"/>
  <c r="A59" i="29"/>
  <c r="C58" i="29"/>
  <c r="B58" i="29"/>
  <c r="A58" i="29"/>
  <c r="C57" i="29"/>
  <c r="B57" i="29"/>
  <c r="A57" i="29"/>
  <c r="C56" i="29"/>
  <c r="B56" i="29"/>
  <c r="A56" i="29"/>
  <c r="C55" i="29"/>
  <c r="B55" i="29"/>
  <c r="A55" i="29"/>
  <c r="C54" i="29"/>
  <c r="B54" i="29"/>
  <c r="A54" i="29"/>
  <c r="C53" i="29"/>
  <c r="B53" i="29"/>
  <c r="A53" i="29"/>
  <c r="C52" i="29"/>
  <c r="B52" i="29"/>
  <c r="A52" i="29"/>
  <c r="C51" i="29"/>
  <c r="B51" i="29"/>
  <c r="A51" i="29"/>
  <c r="C50" i="29"/>
  <c r="B50" i="29"/>
  <c r="A50" i="29"/>
  <c r="C49" i="29"/>
  <c r="B49" i="29"/>
  <c r="A49" i="29"/>
  <c r="H32" i="5"/>
  <c r="H31" i="5"/>
  <c r="H30" i="5"/>
  <c r="H29" i="5"/>
  <c r="H28" i="5"/>
  <c r="H27" i="5"/>
  <c r="H25" i="5"/>
  <c r="H26" i="5"/>
  <c r="H24" i="5"/>
  <c r="H23" i="5"/>
  <c r="H22" i="5"/>
  <c r="H21" i="5"/>
  <c r="H20" i="5"/>
  <c r="H19" i="5"/>
  <c r="H18" i="5"/>
  <c r="H17" i="5"/>
  <c r="G64" i="10"/>
  <c r="K17" i="17"/>
  <c r="K16" i="17"/>
  <c r="F58" i="29"/>
  <c r="B73" i="29"/>
  <c r="I36" i="27"/>
  <c r="G36" i="27"/>
  <c r="E36" i="27"/>
  <c r="I35" i="27"/>
  <c r="G35" i="27"/>
  <c r="E35" i="27"/>
  <c r="K31" i="27"/>
  <c r="D31" i="27"/>
  <c r="J31" i="27" s="1"/>
  <c r="K30" i="27"/>
  <c r="D30" i="27"/>
  <c r="H30" i="27" s="1"/>
  <c r="K29" i="27"/>
  <c r="D29" i="27"/>
  <c r="F29" i="27" s="1"/>
  <c r="K28" i="27"/>
  <c r="D28" i="27"/>
  <c r="F28" i="27" s="1"/>
  <c r="K27" i="27"/>
  <c r="D27" i="27"/>
  <c r="J27" i="27" s="1"/>
  <c r="K26" i="27"/>
  <c r="D26" i="27"/>
  <c r="F26" i="27" s="1"/>
  <c r="K25" i="27"/>
  <c r="D25" i="27"/>
  <c r="H25" i="27" s="1"/>
  <c r="K24" i="27"/>
  <c r="D24" i="27"/>
  <c r="J24" i="27" s="1"/>
  <c r="K23" i="27"/>
  <c r="D23" i="27"/>
  <c r="H23" i="27" s="1"/>
  <c r="K22" i="27"/>
  <c r="D22" i="27"/>
  <c r="F22" i="27" s="1"/>
  <c r="K21" i="27"/>
  <c r="D21" i="27"/>
  <c r="H21" i="27" s="1"/>
  <c r="K20" i="27"/>
  <c r="D20" i="27"/>
  <c r="J20" i="27" s="1"/>
  <c r="K19" i="27"/>
  <c r="D19" i="27"/>
  <c r="H19" i="27" s="1"/>
  <c r="K18" i="27"/>
  <c r="D18" i="27"/>
  <c r="F18" i="27" s="1"/>
  <c r="K17" i="27"/>
  <c r="D17" i="27"/>
  <c r="H17" i="27" s="1"/>
  <c r="K16" i="27"/>
  <c r="D16" i="27"/>
  <c r="J16" i="27" s="1"/>
  <c r="K31" i="17"/>
  <c r="K30" i="17"/>
  <c r="K29" i="17"/>
  <c r="K28" i="17"/>
  <c r="K27" i="17"/>
  <c r="K26" i="17"/>
  <c r="K25" i="17"/>
  <c r="K24" i="17"/>
  <c r="K23" i="17"/>
  <c r="K22" i="17"/>
  <c r="K21" i="17"/>
  <c r="K20" i="17"/>
  <c r="K19" i="17"/>
  <c r="K18" i="17"/>
  <c r="J36" i="8"/>
  <c r="I36" i="8"/>
  <c r="A24" i="24" l="1"/>
  <c r="A15" i="24"/>
  <c r="G33" i="20"/>
  <c r="G31" i="20"/>
  <c r="G27" i="20"/>
  <c r="G23" i="20"/>
  <c r="G29" i="20"/>
  <c r="G25" i="20"/>
  <c r="G32" i="20"/>
  <c r="G36" i="20"/>
  <c r="G24" i="20"/>
  <c r="G34" i="20"/>
  <c r="G30" i="20"/>
  <c r="G26" i="20"/>
  <c r="G22" i="20"/>
  <c r="G35" i="20"/>
  <c r="G28" i="20"/>
  <c r="J17" i="27"/>
  <c r="F21" i="27"/>
  <c r="J21" i="27"/>
  <c r="F17" i="27"/>
  <c r="D48" i="10"/>
  <c r="J28" i="27"/>
  <c r="H20" i="27"/>
  <c r="J23" i="27"/>
  <c r="H27" i="27"/>
  <c r="H28" i="27"/>
  <c r="F30" i="27"/>
  <c r="H31" i="27"/>
  <c r="F19" i="27"/>
  <c r="F25" i="27"/>
  <c r="J19" i="27"/>
  <c r="F23" i="27"/>
  <c r="H24" i="27"/>
  <c r="J25" i="27"/>
  <c r="J30" i="27"/>
  <c r="K36" i="27"/>
  <c r="D16" i="24" s="1"/>
  <c r="H18" i="27"/>
  <c r="H22" i="27"/>
  <c r="H26" i="27"/>
  <c r="H29" i="27"/>
  <c r="K35" i="27"/>
  <c r="D15" i="24" s="1"/>
  <c r="F16" i="27"/>
  <c r="J18" i="27"/>
  <c r="F20" i="27"/>
  <c r="J22" i="27"/>
  <c r="F24" i="27"/>
  <c r="J26" i="27"/>
  <c r="F27" i="27"/>
  <c r="J29" i="27"/>
  <c r="F31" i="27"/>
  <c r="H16" i="27"/>
  <c r="K35" i="17"/>
  <c r="C15" i="24" s="1"/>
  <c r="K36" i="17"/>
  <c r="C16" i="24" s="1"/>
  <c r="J36" i="27" l="1"/>
  <c r="J35" i="27"/>
  <c r="F36" i="27"/>
  <c r="F35" i="27"/>
  <c r="H36" i="27"/>
  <c r="H35" i="27"/>
  <c r="I36" i="17" l="1"/>
  <c r="I35" i="17"/>
  <c r="I25" i="12" l="1"/>
  <c r="C26" i="5"/>
  <c r="I26" i="5" s="1"/>
  <c r="L26" i="5" s="1"/>
  <c r="M26" i="5" s="1"/>
  <c r="J28" i="13"/>
  <c r="H28" i="13"/>
  <c r="I28" i="13" s="1"/>
  <c r="D25" i="17"/>
  <c r="D31" i="29"/>
  <c r="F31" i="29" s="1"/>
  <c r="E56" i="3"/>
  <c r="F29" i="11"/>
  <c r="H29" i="11" s="1"/>
  <c r="D25" i="12"/>
  <c r="F25" i="12" s="1"/>
  <c r="G25" i="12" s="1"/>
  <c r="A56" i="3"/>
  <c r="H24" i="24"/>
  <c r="D58" i="10"/>
  <c r="E26" i="5" l="1"/>
  <c r="F26" i="5" s="1"/>
  <c r="H25" i="17"/>
  <c r="J25" i="17"/>
  <c r="J25" i="12"/>
  <c r="L25" i="12" s="1"/>
  <c r="M25" i="12" s="1"/>
  <c r="F25" i="17"/>
  <c r="J29" i="11"/>
  <c r="I29" i="11"/>
  <c r="F26" i="19" l="1"/>
  <c r="I56" i="3"/>
  <c r="K29" i="11"/>
  <c r="L29" i="11" s="1"/>
  <c r="D25" i="10"/>
  <c r="J26" i="19" l="1"/>
  <c r="D30" i="20"/>
  <c r="H30" i="20" s="1"/>
  <c r="I26" i="19"/>
  <c r="G21" i="20"/>
  <c r="H36" i="19"/>
  <c r="G36" i="19"/>
  <c r="H35" i="19"/>
  <c r="G35" i="19"/>
  <c r="D17" i="19"/>
  <c r="G36" i="17"/>
  <c r="G35" i="17"/>
  <c r="D31" i="17"/>
  <c r="J31" i="17" s="1"/>
  <c r="D30" i="17"/>
  <c r="J30" i="17" s="1"/>
  <c r="D29" i="17"/>
  <c r="J29" i="17" s="1"/>
  <c r="D28" i="17"/>
  <c r="J28" i="17" s="1"/>
  <c r="D27" i="17"/>
  <c r="J27" i="17" s="1"/>
  <c r="D26" i="17"/>
  <c r="J26" i="17" s="1"/>
  <c r="D24" i="17"/>
  <c r="J24" i="17" s="1"/>
  <c r="D23" i="17"/>
  <c r="J23" i="17" s="1"/>
  <c r="D22" i="17"/>
  <c r="J22" i="17" s="1"/>
  <c r="D21" i="17"/>
  <c r="J21" i="17" s="1"/>
  <c r="D20" i="17"/>
  <c r="J20" i="17" s="1"/>
  <c r="D19" i="17"/>
  <c r="J19" i="17" s="1"/>
  <c r="D18" i="17"/>
  <c r="J18" i="17" s="1"/>
  <c r="D17" i="17"/>
  <c r="J17" i="17" s="1"/>
  <c r="D16" i="17"/>
  <c r="J16" i="17" s="1"/>
  <c r="E36" i="17"/>
  <c r="E35" i="17"/>
  <c r="I37" i="14"/>
  <c r="I35" i="8"/>
  <c r="I34" i="8"/>
  <c r="F35" i="11"/>
  <c r="H35" i="11" s="1"/>
  <c r="F34" i="11"/>
  <c r="H34" i="11" s="1"/>
  <c r="F33" i="11"/>
  <c r="H33" i="11" s="1"/>
  <c r="F32" i="11"/>
  <c r="H32" i="11" s="1"/>
  <c r="F31" i="11"/>
  <c r="H31" i="11" s="1"/>
  <c r="F30" i="11"/>
  <c r="H30" i="11" s="1"/>
  <c r="F28" i="11"/>
  <c r="H28" i="11" s="1"/>
  <c r="F27" i="11"/>
  <c r="H27" i="11" s="1"/>
  <c r="F26" i="11"/>
  <c r="H26" i="11" s="1"/>
  <c r="F25" i="11"/>
  <c r="H25" i="11" s="1"/>
  <c r="F24" i="11"/>
  <c r="H24" i="11" s="1"/>
  <c r="F23" i="11"/>
  <c r="H23" i="11" s="1"/>
  <c r="F22" i="11"/>
  <c r="H22" i="11" s="1"/>
  <c r="F21" i="11"/>
  <c r="H21" i="11" s="1"/>
  <c r="F20" i="11"/>
  <c r="H20" i="11" s="1"/>
  <c r="I20" i="11" s="1"/>
  <c r="E30" i="8"/>
  <c r="E29" i="8"/>
  <c r="E28" i="8"/>
  <c r="E27" i="8"/>
  <c r="E26" i="8"/>
  <c r="E25" i="8"/>
  <c r="E23" i="8"/>
  <c r="E22" i="8"/>
  <c r="E21" i="8"/>
  <c r="E20" i="8"/>
  <c r="E19" i="8"/>
  <c r="E18" i="8"/>
  <c r="E17" i="8"/>
  <c r="E16" i="8"/>
  <c r="E15" i="8"/>
  <c r="C32" i="5"/>
  <c r="I32" i="5" s="1"/>
  <c r="L32" i="5" s="1"/>
  <c r="C31" i="5"/>
  <c r="I31" i="5" s="1"/>
  <c r="L31" i="5" s="1"/>
  <c r="C30" i="5"/>
  <c r="I30" i="5" s="1"/>
  <c r="L30" i="5" s="1"/>
  <c r="C29" i="5"/>
  <c r="I29" i="5" s="1"/>
  <c r="L29" i="5" s="1"/>
  <c r="C28" i="5"/>
  <c r="I28" i="5" s="1"/>
  <c r="L28" i="5" s="1"/>
  <c r="C27" i="5"/>
  <c r="I27" i="5" s="1"/>
  <c r="L27" i="5" s="1"/>
  <c r="C25" i="5"/>
  <c r="I25" i="5" s="1"/>
  <c r="L25" i="5" s="1"/>
  <c r="C24" i="5"/>
  <c r="I24" i="5" s="1"/>
  <c r="L24" i="5" s="1"/>
  <c r="C23" i="5"/>
  <c r="I23" i="5" s="1"/>
  <c r="L23" i="5" s="1"/>
  <c r="C22" i="5"/>
  <c r="I22" i="5" s="1"/>
  <c r="L22" i="5" s="1"/>
  <c r="C21" i="5"/>
  <c r="I21" i="5" s="1"/>
  <c r="L21" i="5" s="1"/>
  <c r="C20" i="5"/>
  <c r="I20" i="5" s="1"/>
  <c r="L20" i="5" s="1"/>
  <c r="C19" i="5"/>
  <c r="I19" i="5" s="1"/>
  <c r="L19" i="5" s="1"/>
  <c r="C18" i="5"/>
  <c r="I18" i="5" s="1"/>
  <c r="L18" i="5" s="1"/>
  <c r="C17" i="5"/>
  <c r="I17" i="5" s="1"/>
  <c r="L17" i="5" s="1"/>
  <c r="J42" i="12"/>
  <c r="D23" i="10" s="1"/>
  <c r="I42" i="12"/>
  <c r="H41" i="5"/>
  <c r="D56" i="10" s="1"/>
  <c r="G41" i="5"/>
  <c r="H37" i="14"/>
  <c r="H36" i="14"/>
  <c r="J34" i="13"/>
  <c r="J33" i="13"/>
  <c r="J32" i="13"/>
  <c r="J31" i="13"/>
  <c r="J30" i="13"/>
  <c r="J29" i="13"/>
  <c r="J27" i="13"/>
  <c r="J26" i="13"/>
  <c r="J25" i="13"/>
  <c r="J24" i="13"/>
  <c r="J23" i="13"/>
  <c r="J22" i="13"/>
  <c r="J21" i="13"/>
  <c r="J20" i="13"/>
  <c r="H34" i="13"/>
  <c r="I34" i="13" s="1"/>
  <c r="H33" i="13"/>
  <c r="I33" i="13" s="1"/>
  <c r="H32" i="13"/>
  <c r="I32" i="13" s="1"/>
  <c r="H31" i="13"/>
  <c r="I31" i="13" s="1"/>
  <c r="H30" i="13"/>
  <c r="I30" i="13" s="1"/>
  <c r="H29" i="13"/>
  <c r="I29" i="13" s="1"/>
  <c r="H27" i="13"/>
  <c r="I27" i="13" s="1"/>
  <c r="H26" i="13"/>
  <c r="I26" i="13" s="1"/>
  <c r="H25" i="13"/>
  <c r="I25" i="13" s="1"/>
  <c r="H24" i="13"/>
  <c r="I24" i="13" s="1"/>
  <c r="H23" i="13"/>
  <c r="I23" i="13" s="1"/>
  <c r="H22" i="13"/>
  <c r="I22" i="13" s="1"/>
  <c r="H21" i="13"/>
  <c r="I21" i="13" s="1"/>
  <c r="H20" i="13"/>
  <c r="I20" i="13" s="1"/>
  <c r="K36" i="12"/>
  <c r="E36" i="12"/>
  <c r="K35" i="12"/>
  <c r="E35" i="12"/>
  <c r="D31" i="12"/>
  <c r="J31" i="12" s="1"/>
  <c r="D30" i="12"/>
  <c r="J30" i="12" s="1"/>
  <c r="D29" i="12"/>
  <c r="J29" i="12" s="1"/>
  <c r="D28" i="12"/>
  <c r="D27" i="12"/>
  <c r="F27" i="12" s="1"/>
  <c r="G27" i="12" s="1"/>
  <c r="D26" i="12"/>
  <c r="J26" i="12" s="1"/>
  <c r="D24" i="12"/>
  <c r="D23" i="12"/>
  <c r="F23" i="12" s="1"/>
  <c r="G23" i="12" s="1"/>
  <c r="D22" i="12"/>
  <c r="F22" i="12" s="1"/>
  <c r="G22" i="12" s="1"/>
  <c r="D21" i="12"/>
  <c r="J21" i="12" s="1"/>
  <c r="D20" i="12"/>
  <c r="D19" i="12"/>
  <c r="F19" i="12" s="1"/>
  <c r="G19" i="12" s="1"/>
  <c r="D18" i="12"/>
  <c r="F18" i="12" s="1"/>
  <c r="G18" i="12" s="1"/>
  <c r="D17" i="12"/>
  <c r="J17" i="12" s="1"/>
  <c r="D16" i="12"/>
  <c r="J16" i="12" s="1"/>
  <c r="J39" i="13" l="1"/>
  <c r="I39" i="13"/>
  <c r="J36" i="17"/>
  <c r="J35" i="17"/>
  <c r="J38" i="13"/>
  <c r="I38" i="13"/>
  <c r="J18" i="12"/>
  <c r="L21" i="12"/>
  <c r="M21" i="12" s="1"/>
  <c r="L26" i="12"/>
  <c r="M26" i="12" s="1"/>
  <c r="L29" i="12"/>
  <c r="M29" i="12" s="1"/>
  <c r="L30" i="12"/>
  <c r="M30" i="12" s="1"/>
  <c r="L16" i="12"/>
  <c r="H17" i="17"/>
  <c r="H26" i="17"/>
  <c r="F26" i="17"/>
  <c r="H29" i="17"/>
  <c r="F29" i="17"/>
  <c r="H19" i="17"/>
  <c r="F19" i="17"/>
  <c r="H23" i="17"/>
  <c r="F23" i="17"/>
  <c r="H27" i="17"/>
  <c r="F27" i="17"/>
  <c r="H31" i="17"/>
  <c r="F31" i="17"/>
  <c r="J22" i="12"/>
  <c r="H21" i="17"/>
  <c r="F21" i="17"/>
  <c r="H18" i="17"/>
  <c r="F18" i="17"/>
  <c r="H22" i="17"/>
  <c r="F22" i="17"/>
  <c r="H30" i="17"/>
  <c r="F30" i="17"/>
  <c r="L31" i="12"/>
  <c r="M31" i="12" s="1"/>
  <c r="H16" i="17"/>
  <c r="F16" i="17"/>
  <c r="H20" i="17"/>
  <c r="F20" i="17"/>
  <c r="H24" i="17"/>
  <c r="F24" i="17"/>
  <c r="H28" i="17"/>
  <c r="F28" i="17"/>
  <c r="J19" i="12"/>
  <c r="J23" i="12"/>
  <c r="J27" i="12"/>
  <c r="L17" i="12"/>
  <c r="M17" i="12" s="1"/>
  <c r="J20" i="12"/>
  <c r="J24" i="12"/>
  <c r="J28" i="12"/>
  <c r="F16" i="12"/>
  <c r="G16" i="12" s="1"/>
  <c r="F24" i="12"/>
  <c r="G24" i="12" s="1"/>
  <c r="F20" i="12"/>
  <c r="G20" i="12" s="1"/>
  <c r="F28" i="12"/>
  <c r="G28" i="12" s="1"/>
  <c r="F31" i="12"/>
  <c r="G31" i="12" s="1"/>
  <c r="F21" i="12"/>
  <c r="G21" i="12" s="1"/>
  <c r="F30" i="12"/>
  <c r="G30" i="12" s="1"/>
  <c r="F17" i="12"/>
  <c r="G17" i="12" s="1"/>
  <c r="F26" i="12"/>
  <c r="G26" i="12" s="1"/>
  <c r="F29" i="12"/>
  <c r="G29" i="12" s="1"/>
  <c r="F27" i="19" l="1"/>
  <c r="F19" i="19"/>
  <c r="I19" i="19" s="1"/>
  <c r="F20" i="19"/>
  <c r="D24" i="20" s="1"/>
  <c r="H24" i="20" s="1"/>
  <c r="F21" i="19"/>
  <c r="F22" i="19"/>
  <c r="F23" i="19"/>
  <c r="D27" i="20" s="1"/>
  <c r="H27" i="20" s="1"/>
  <c r="F24" i="19"/>
  <c r="I24" i="19" s="1"/>
  <c r="F25" i="19"/>
  <c r="F28" i="19"/>
  <c r="F29" i="19"/>
  <c r="F31" i="19"/>
  <c r="F32" i="19"/>
  <c r="D36" i="20" s="1"/>
  <c r="H36" i="20" s="1"/>
  <c r="F30" i="19"/>
  <c r="D34" i="20" s="1"/>
  <c r="H34" i="20" s="1"/>
  <c r="F18" i="19"/>
  <c r="L18" i="12"/>
  <c r="M18" i="12" s="1"/>
  <c r="L28" i="12"/>
  <c r="M28" i="12" s="1"/>
  <c r="L27" i="12"/>
  <c r="M27" i="12" s="1"/>
  <c r="L24" i="12"/>
  <c r="M24" i="12" s="1"/>
  <c r="L23" i="12"/>
  <c r="M23" i="12" s="1"/>
  <c r="F35" i="17"/>
  <c r="F36" i="17"/>
  <c r="L22" i="12"/>
  <c r="M22" i="12" s="1"/>
  <c r="J20" i="19"/>
  <c r="I20" i="19"/>
  <c r="L20" i="12"/>
  <c r="M20" i="12" s="1"/>
  <c r="L19" i="12"/>
  <c r="M19" i="12" s="1"/>
  <c r="F17" i="19"/>
  <c r="D21" i="20" s="1"/>
  <c r="H21" i="20" s="1"/>
  <c r="H35" i="17"/>
  <c r="H36" i="17"/>
  <c r="J31" i="19"/>
  <c r="G35" i="12"/>
  <c r="F36" i="12"/>
  <c r="F35" i="12"/>
  <c r="M16" i="12"/>
  <c r="G36" i="12"/>
  <c r="J23" i="19" l="1"/>
  <c r="I32" i="19"/>
  <c r="J32" i="19"/>
  <c r="I31" i="19"/>
  <c r="D35" i="20"/>
  <c r="H35" i="20" s="1"/>
  <c r="J28" i="19"/>
  <c r="D32" i="20"/>
  <c r="H32" i="20" s="1"/>
  <c r="J24" i="19"/>
  <c r="D28" i="20"/>
  <c r="H28" i="20" s="1"/>
  <c r="J22" i="19"/>
  <c r="D26" i="20"/>
  <c r="H26" i="20" s="1"/>
  <c r="J27" i="19"/>
  <c r="D31" i="20"/>
  <c r="H31" i="20" s="1"/>
  <c r="J18" i="19"/>
  <c r="D22" i="20"/>
  <c r="H22" i="20" s="1"/>
  <c r="I29" i="19"/>
  <c r="D33" i="20"/>
  <c r="H33" i="20" s="1"/>
  <c r="J25" i="19"/>
  <c r="D29" i="20"/>
  <c r="H29" i="20" s="1"/>
  <c r="J21" i="19"/>
  <c r="D25" i="20"/>
  <c r="H25" i="20" s="1"/>
  <c r="J19" i="19"/>
  <c r="D23" i="20"/>
  <c r="H23" i="20" s="1"/>
  <c r="I23" i="19"/>
  <c r="J29" i="19"/>
  <c r="I21" i="19"/>
  <c r="I25" i="19"/>
  <c r="I27" i="19"/>
  <c r="I22" i="19"/>
  <c r="I28" i="19"/>
  <c r="I18" i="19"/>
  <c r="J30" i="19"/>
  <c r="I30" i="19"/>
  <c r="L36" i="12"/>
  <c r="L35" i="12"/>
  <c r="J17" i="19"/>
  <c r="F36" i="19"/>
  <c r="F35" i="19"/>
  <c r="I17" i="19"/>
  <c r="M36" i="12"/>
  <c r="M35" i="12"/>
  <c r="H40" i="20" l="1"/>
  <c r="H39" i="20"/>
  <c r="J36" i="19"/>
  <c r="J35" i="19"/>
  <c r="I36" i="19"/>
  <c r="I35" i="19"/>
  <c r="J37" i="5"/>
  <c r="J36" i="5"/>
  <c r="J35" i="11"/>
  <c r="J34" i="11"/>
  <c r="J33" i="11"/>
  <c r="J32" i="11"/>
  <c r="J31" i="11"/>
  <c r="J30" i="11"/>
  <c r="J28" i="11"/>
  <c r="J27" i="11"/>
  <c r="J26" i="11"/>
  <c r="J25" i="11"/>
  <c r="J24" i="11"/>
  <c r="J23" i="11"/>
  <c r="J22" i="11"/>
  <c r="J21" i="11"/>
  <c r="J20" i="11"/>
  <c r="K20" i="11" s="1"/>
  <c r="I35" i="11"/>
  <c r="I34" i="11"/>
  <c r="I33" i="11"/>
  <c r="I32" i="11"/>
  <c r="I31" i="11"/>
  <c r="I30" i="11"/>
  <c r="I28" i="11"/>
  <c r="I27" i="11"/>
  <c r="I26" i="11"/>
  <c r="I25" i="11"/>
  <c r="I24" i="11"/>
  <c r="I23" i="11"/>
  <c r="I22" i="11"/>
  <c r="I21" i="11"/>
  <c r="F56" i="10"/>
  <c r="C58" i="10"/>
  <c r="C56" i="10"/>
  <c r="F58" i="10"/>
  <c r="F25" i="10"/>
  <c r="C25" i="10"/>
  <c r="F23" i="10"/>
  <c r="C23" i="10"/>
  <c r="E61" i="3"/>
  <c r="K31" i="11" l="1"/>
  <c r="L31" i="11" s="1"/>
  <c r="K22" i="11"/>
  <c r="L22" i="11" s="1"/>
  <c r="K21" i="11"/>
  <c r="L21" i="11" s="1"/>
  <c r="K34" i="11"/>
  <c r="L34" i="11" s="1"/>
  <c r="L20" i="11"/>
  <c r="K28" i="11"/>
  <c r="L28" i="11" s="1"/>
  <c r="K27" i="11"/>
  <c r="L27" i="11" s="1"/>
  <c r="K26" i="11"/>
  <c r="L26" i="11" s="1"/>
  <c r="K25" i="11"/>
  <c r="L25" i="11" s="1"/>
  <c r="K24" i="11"/>
  <c r="L24" i="11" s="1"/>
  <c r="K23" i="11"/>
  <c r="L23" i="11" s="1"/>
  <c r="K35" i="11"/>
  <c r="L35" i="11" s="1"/>
  <c r="K33" i="11"/>
  <c r="L33" i="11" s="1"/>
  <c r="K32" i="11"/>
  <c r="L32" i="11" s="1"/>
  <c r="K30" i="11"/>
  <c r="L30" i="11" s="1"/>
  <c r="G25" i="10"/>
  <c r="C27" i="10"/>
  <c r="C60" i="10"/>
  <c r="G23" i="10"/>
  <c r="G56" i="10"/>
  <c r="G58" i="10"/>
  <c r="E63" i="29"/>
  <c r="E62" i="29"/>
  <c r="E61" i="29"/>
  <c r="E59" i="29"/>
  <c r="D55" i="3"/>
  <c r="E25" i="19" s="1"/>
  <c r="E56" i="29"/>
  <c r="E55" i="29"/>
  <c r="E54" i="29"/>
  <c r="E53" i="29"/>
  <c r="E52" i="29"/>
  <c r="E51" i="29"/>
  <c r="E50" i="29"/>
  <c r="D60" i="29" l="1"/>
  <c r="F60" i="29" s="1"/>
  <c r="D64" i="29"/>
  <c r="E64" i="29"/>
  <c r="E57" i="29"/>
  <c r="F57" i="29" s="1"/>
  <c r="D56" i="29"/>
  <c r="D51" i="29"/>
  <c r="D54" i="29"/>
  <c r="D49" i="29"/>
  <c r="D52" i="29"/>
  <c r="D59" i="29"/>
  <c r="D62" i="29"/>
  <c r="D50" i="29"/>
  <c r="D53" i="29"/>
  <c r="D55" i="29"/>
  <c r="L39" i="11"/>
  <c r="L40" i="11"/>
  <c r="G27" i="10"/>
  <c r="G60" i="10"/>
  <c r="M18" i="5"/>
  <c r="M19" i="5"/>
  <c r="M20" i="5"/>
  <c r="M21" i="5"/>
  <c r="M22" i="5"/>
  <c r="M23" i="5"/>
  <c r="M24" i="5"/>
  <c r="M25" i="5"/>
  <c r="M27" i="5"/>
  <c r="M28" i="5"/>
  <c r="M29" i="5"/>
  <c r="M30" i="5"/>
  <c r="M31" i="5"/>
  <c r="M32" i="5"/>
  <c r="D61" i="29" l="1"/>
  <c r="F61" i="29" s="1"/>
  <c r="F64" i="29"/>
  <c r="D63" i="29"/>
  <c r="F63" i="29" s="1"/>
  <c r="F53" i="29"/>
  <c r="F62" i="29"/>
  <c r="F52" i="29"/>
  <c r="F54" i="29"/>
  <c r="F56" i="29"/>
  <c r="F55" i="29"/>
  <c r="F50" i="29"/>
  <c r="F59" i="29"/>
  <c r="F49" i="29"/>
  <c r="F51" i="29"/>
  <c r="M17" i="5"/>
  <c r="L36" i="5"/>
  <c r="L37" i="5"/>
  <c r="D61" i="3"/>
  <c r="E31" i="19" s="1"/>
  <c r="F65" i="29" l="1"/>
  <c r="D73" i="29" s="1"/>
  <c r="M37" i="5"/>
  <c r="M36" i="5"/>
  <c r="E51" i="3"/>
  <c r="F34" i="3" l="1"/>
  <c r="E17" i="5" l="1"/>
  <c r="E49" i="3" l="1"/>
  <c r="A62" i="3" l="1"/>
  <c r="A61" i="3"/>
  <c r="A60" i="3"/>
  <c r="A59" i="3"/>
  <c r="A58" i="3"/>
  <c r="A57" i="3"/>
  <c r="A55" i="3"/>
  <c r="A54" i="3"/>
  <c r="A53" i="3"/>
  <c r="A52" i="3"/>
  <c r="A51" i="3"/>
  <c r="A50" i="3"/>
  <c r="A49" i="3"/>
  <c r="A48" i="3"/>
  <c r="D37" i="29"/>
  <c r="F37" i="29" s="1"/>
  <c r="D36" i="29"/>
  <c r="F36" i="29" s="1"/>
  <c r="D35" i="29"/>
  <c r="F35" i="29" s="1"/>
  <c r="D34" i="29"/>
  <c r="F34" i="29" s="1"/>
  <c r="D33" i="29"/>
  <c r="F33" i="29" s="1"/>
  <c r="D32" i="29"/>
  <c r="F32" i="29" s="1"/>
  <c r="D30" i="29"/>
  <c r="F30" i="29" s="1"/>
  <c r="D29" i="29"/>
  <c r="F29" i="29" s="1"/>
  <c r="D53" i="3"/>
  <c r="D52" i="3"/>
  <c r="D51" i="3"/>
  <c r="H51" i="3" s="1"/>
  <c r="J51" i="3" s="1"/>
  <c r="D50" i="3"/>
  <c r="D49" i="3"/>
  <c r="D48" i="3"/>
  <c r="J64" i="3" l="1"/>
  <c r="J63" i="3"/>
  <c r="D28" i="29"/>
  <c r="F28" i="29" s="1"/>
  <c r="E23" i="19"/>
  <c r="D27" i="29"/>
  <c r="F27" i="29" s="1"/>
  <c r="E22" i="19"/>
  <c r="D24" i="29"/>
  <c r="F24" i="29" s="1"/>
  <c r="E19" i="19"/>
  <c r="D25" i="29"/>
  <c r="F25" i="29" s="1"/>
  <c r="E20" i="19"/>
  <c r="D26" i="29"/>
  <c r="F26" i="29" s="1"/>
  <c r="E21" i="19"/>
  <c r="D23" i="29"/>
  <c r="F23" i="29" s="1"/>
  <c r="E18" i="19"/>
  <c r="F36" i="3"/>
  <c r="I62" i="3" l="1"/>
  <c r="F22" i="3" l="1"/>
  <c r="F23" i="3"/>
  <c r="F24" i="3"/>
  <c r="F25" i="3"/>
  <c r="F26" i="3"/>
  <c r="F27" i="3"/>
  <c r="F28" i="3"/>
  <c r="F29" i="3"/>
  <c r="F30" i="3"/>
  <c r="F32" i="3"/>
  <c r="F33" i="3"/>
  <c r="F35" i="3"/>
  <c r="F37" i="3"/>
  <c r="C23" i="7" l="1"/>
  <c r="C72" i="29" s="1"/>
  <c r="C25" i="7"/>
  <c r="C73" i="29" s="1"/>
  <c r="E73" i="29" s="1"/>
  <c r="D25" i="7" l="1"/>
  <c r="J34" i="8" l="1"/>
  <c r="J35" i="8" l="1"/>
  <c r="E60" i="3" l="1"/>
  <c r="E59" i="3"/>
  <c r="E58" i="3"/>
  <c r="E57" i="3"/>
  <c r="E55" i="3"/>
  <c r="E54" i="3"/>
  <c r="E53" i="3"/>
  <c r="E52" i="3"/>
  <c r="E50" i="3"/>
  <c r="D47" i="3"/>
  <c r="D22" i="29" s="1"/>
  <c r="F22" i="29" s="1"/>
  <c r="F38" i="29" s="1"/>
  <c r="D72" i="29" s="1"/>
  <c r="E72" i="29" s="1"/>
  <c r="E74" i="29" s="1"/>
  <c r="E17" i="19" l="1"/>
  <c r="I58" i="3"/>
  <c r="I60" i="3"/>
  <c r="I57" i="3"/>
  <c r="I59" i="3"/>
  <c r="I61" i="3"/>
  <c r="I52" i="3"/>
  <c r="I51" i="3"/>
  <c r="I53" i="3"/>
  <c r="I55" i="3"/>
  <c r="E27" i="5"/>
  <c r="F27" i="5" s="1"/>
  <c r="I54" i="3" l="1"/>
  <c r="I50" i="3"/>
  <c r="E31" i="5"/>
  <c r="F31" i="5" s="1"/>
  <c r="E30" i="5"/>
  <c r="F30" i="5" s="1"/>
  <c r="E25" i="5"/>
  <c r="F25" i="5" s="1"/>
  <c r="E24" i="5"/>
  <c r="F24" i="5" s="1"/>
  <c r="D37" i="5" l="1"/>
  <c r="D36" i="5"/>
  <c r="E48" i="3" l="1"/>
  <c r="E47" i="3"/>
  <c r="I48" i="3" l="1"/>
  <c r="I49" i="3"/>
  <c r="I47" i="3" l="1"/>
  <c r="J66" i="3"/>
  <c r="I65" i="3" l="1"/>
  <c r="I64" i="3"/>
  <c r="I63" i="3"/>
  <c r="B53" i="3"/>
  <c r="B52" i="3"/>
  <c r="B51" i="3"/>
  <c r="B50" i="3"/>
  <c r="B49" i="3"/>
  <c r="B48" i="3"/>
  <c r="C53" i="3"/>
  <c r="C52" i="3"/>
  <c r="C51" i="3"/>
  <c r="C50" i="3"/>
  <c r="C49" i="3"/>
  <c r="C48" i="3"/>
  <c r="C47" i="3"/>
  <c r="B47" i="3" l="1"/>
  <c r="A47" i="3"/>
  <c r="E32" i="5"/>
  <c r="F32" i="5" s="1"/>
  <c r="E29" i="5"/>
  <c r="F29" i="5" s="1"/>
  <c r="E28" i="5"/>
  <c r="F28" i="5" s="1"/>
  <c r="E23" i="5"/>
  <c r="F23" i="5" s="1"/>
  <c r="E22" i="5"/>
  <c r="F22" i="5" s="1"/>
  <c r="E21" i="5"/>
  <c r="F21" i="5" s="1"/>
  <c r="E20" i="5"/>
  <c r="F20" i="5" s="1"/>
  <c r="E19" i="5"/>
  <c r="F19" i="5" s="1"/>
  <c r="E18" i="5"/>
  <c r="F18" i="5" s="1"/>
  <c r="E36" i="5" l="1"/>
  <c r="J65" i="3"/>
  <c r="E37" i="5"/>
  <c r="I66" i="3"/>
  <c r="F17" i="5"/>
  <c r="F36" i="5" s="1"/>
  <c r="F23" i="7" l="1"/>
  <c r="G23" i="7" s="1"/>
  <c r="F37"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rev4440</author>
    <author>rev4279</author>
    <author>REVT221</author>
    <author>K Reaves</author>
    <author>Baker, Mike A (DOR)</author>
    <author>rev3569</author>
    <author>rev3857</author>
  </authors>
  <commentList>
    <comment ref="G22" authorId="0" shapeId="0" xr:uid="{5E1A763A-9109-4937-9FD0-F61B960B8F42}">
      <text>
        <r>
          <rPr>
            <b/>
            <sz val="9"/>
            <color indexed="81"/>
            <rFont val="Tahoma"/>
            <family val="2"/>
          </rPr>
          <t>rev4175:</t>
        </r>
        <r>
          <rPr>
            <sz val="9"/>
            <color indexed="81"/>
            <rFont val="Tahoma"/>
            <family val="2"/>
          </rPr>
          <t xml:space="preserve">
12/29 Close</t>
        </r>
      </text>
    </comment>
    <comment ref="H22" authorId="1" shapeId="0" xr:uid="{00000000-0006-0000-0200-000001000000}">
      <text>
        <r>
          <rPr>
            <sz val="9"/>
            <color indexed="81"/>
            <rFont val="Tahoma"/>
            <family val="2"/>
          </rPr>
          <t>10k pg 72</t>
        </r>
      </text>
    </comment>
    <comment ref="J22" authorId="1" shapeId="0" xr:uid="{00000000-0006-0000-0200-000002000000}">
      <text>
        <r>
          <rPr>
            <sz val="9"/>
            <color indexed="81"/>
            <rFont val="Tahoma"/>
            <family val="2"/>
          </rPr>
          <t>10K PG 72</t>
        </r>
      </text>
    </comment>
    <comment ref="G23" authorId="0" shapeId="0" xr:uid="{B746D75F-FAF2-4325-AB4E-C7ED6F9A4DF5}">
      <text>
        <r>
          <rPr>
            <b/>
            <sz val="9"/>
            <color indexed="81"/>
            <rFont val="Tahoma"/>
            <family val="2"/>
          </rPr>
          <t>rev4175:</t>
        </r>
        <r>
          <rPr>
            <sz val="9"/>
            <color indexed="81"/>
            <rFont val="Tahoma"/>
            <family val="2"/>
          </rPr>
          <t xml:space="preserve">
12/29 Close</t>
        </r>
      </text>
    </comment>
    <comment ref="H23" authorId="1" shapeId="0" xr:uid="{00000000-0006-0000-0200-000003000000}">
      <text>
        <r>
          <rPr>
            <sz val="9"/>
            <color indexed="81"/>
            <rFont val="Tahoma"/>
            <family val="2"/>
          </rPr>
          <t>Page 48 of PDF, 10-K</t>
        </r>
      </text>
    </comment>
    <comment ref="J23" authorId="1" shapeId="0" xr:uid="{00000000-0006-0000-0200-000005000000}">
      <text>
        <r>
          <rPr>
            <sz val="9"/>
            <color indexed="81"/>
            <rFont val="Tahoma"/>
            <family val="2"/>
          </rPr>
          <t>Page 48 of PDF, 10-K</t>
        </r>
      </text>
    </comment>
    <comment ref="G24" authorId="0" shapeId="0" xr:uid="{DB61C895-1F70-48A9-9DC1-C68035C3F78F}">
      <text>
        <r>
          <rPr>
            <b/>
            <sz val="9"/>
            <color indexed="81"/>
            <rFont val="Tahoma"/>
            <family val="2"/>
          </rPr>
          <t>rev4175:</t>
        </r>
        <r>
          <rPr>
            <sz val="9"/>
            <color indexed="81"/>
            <rFont val="Tahoma"/>
            <family val="2"/>
          </rPr>
          <t xml:space="preserve">
12/29 Close</t>
        </r>
      </text>
    </comment>
    <comment ref="H24" authorId="1" shapeId="0" xr:uid="{00000000-0006-0000-0200-000006000000}">
      <text>
        <r>
          <rPr>
            <sz val="9"/>
            <color indexed="81"/>
            <rFont val="Tahoma"/>
            <family val="2"/>
          </rPr>
          <t>10K PG 89</t>
        </r>
      </text>
    </comment>
    <comment ref="J24" authorId="1" shapeId="0" xr:uid="{00000000-0006-0000-0200-000007000000}">
      <text>
        <r>
          <rPr>
            <sz val="9"/>
            <color indexed="81"/>
            <rFont val="Tahoma"/>
            <family val="2"/>
          </rPr>
          <t>10K PG 89</t>
        </r>
      </text>
    </comment>
    <comment ref="G25" authorId="0" shapeId="0" xr:uid="{B43C81F1-2889-49CD-A322-99147F70CF6C}">
      <text>
        <r>
          <rPr>
            <b/>
            <sz val="9"/>
            <color indexed="81"/>
            <rFont val="Tahoma"/>
            <family val="2"/>
          </rPr>
          <t>rev4175:</t>
        </r>
        <r>
          <rPr>
            <sz val="9"/>
            <color indexed="81"/>
            <rFont val="Tahoma"/>
            <family val="2"/>
          </rPr>
          <t xml:space="preserve">
12/29 Close</t>
        </r>
      </text>
    </comment>
    <comment ref="H25" authorId="1" shapeId="0" xr:uid="{00000000-0006-0000-0200-000008000000}">
      <text>
        <r>
          <rPr>
            <sz val="9"/>
            <color indexed="81"/>
            <rFont val="Tahoma"/>
            <family val="2"/>
          </rPr>
          <t>10K PG  94</t>
        </r>
      </text>
    </comment>
    <comment ref="I25" authorId="2" shapeId="0" xr:uid="{B8B6E75B-8C72-4657-A6A7-96A7EC45F5D7}">
      <text>
        <r>
          <rPr>
            <b/>
            <sz val="9"/>
            <color indexed="81"/>
            <rFont val="Tahoma"/>
            <family val="2"/>
          </rPr>
          <t>rev4279:</t>
        </r>
        <r>
          <rPr>
            <sz val="9"/>
            <color indexed="81"/>
            <rFont val="Tahoma"/>
            <family val="2"/>
          </rPr>
          <t xml:space="preserve">
10K PG 94 CONTINGENTLY REDEEMABLE PERFORMANCE SHARE AWARDS</t>
        </r>
      </text>
    </comment>
    <comment ref="J25" authorId="1" shapeId="0" xr:uid="{00000000-0006-0000-0200-000009000000}">
      <text>
        <r>
          <rPr>
            <sz val="9"/>
            <color indexed="81"/>
            <rFont val="Tahoma"/>
            <family val="2"/>
          </rPr>
          <t xml:space="preserve">10K PG 94 </t>
        </r>
      </text>
    </comment>
    <comment ref="G26" authorId="0" shapeId="0" xr:uid="{2ABCFB5B-7793-407D-9CD7-8A8FD252DB6C}">
      <text>
        <r>
          <rPr>
            <b/>
            <sz val="9"/>
            <color indexed="81"/>
            <rFont val="Tahoma"/>
            <family val="2"/>
          </rPr>
          <t>rev4175:</t>
        </r>
        <r>
          <rPr>
            <sz val="9"/>
            <color indexed="81"/>
            <rFont val="Tahoma"/>
            <family val="2"/>
          </rPr>
          <t xml:space="preserve">
12/29 Close</t>
        </r>
      </text>
    </comment>
    <comment ref="H26" authorId="1" shapeId="0" xr:uid="{00000000-0006-0000-0200-00000A000000}">
      <text>
        <r>
          <rPr>
            <sz val="9"/>
            <color indexed="81"/>
            <rFont val="Tahoma"/>
            <family val="2"/>
          </rPr>
          <t>10K PG 89</t>
        </r>
      </text>
    </comment>
    <comment ref="I26" authorId="1" shapeId="0" xr:uid="{AD57560F-D709-45FC-A98E-0D9C3A502E76}">
      <text>
        <r>
          <rPr>
            <sz val="9"/>
            <color indexed="81"/>
            <rFont val="Tahoma"/>
            <family val="2"/>
          </rPr>
          <t>10K PG 89</t>
        </r>
      </text>
    </comment>
    <comment ref="J26" authorId="1" shapeId="0" xr:uid="{CAFA30E3-04E3-4296-A91F-E5392A52F43D}">
      <text>
        <r>
          <rPr>
            <sz val="9"/>
            <color indexed="81"/>
            <rFont val="Tahoma"/>
            <family val="2"/>
          </rPr>
          <t>10K PG 89</t>
        </r>
      </text>
    </comment>
    <comment ref="G27" authorId="0" shapeId="0" xr:uid="{B08A1A4E-7C0C-4EE0-804B-81B6940A5E9D}">
      <text>
        <r>
          <rPr>
            <b/>
            <sz val="9"/>
            <color indexed="81"/>
            <rFont val="Tahoma"/>
            <family val="2"/>
          </rPr>
          <t>rev4175:</t>
        </r>
        <r>
          <rPr>
            <sz val="9"/>
            <color indexed="81"/>
            <rFont val="Tahoma"/>
            <family val="2"/>
          </rPr>
          <t xml:space="preserve">
12/29 Close</t>
        </r>
      </text>
    </comment>
    <comment ref="H27" authorId="1" shapeId="0" xr:uid="{00000000-0006-0000-0200-00000D000000}">
      <text>
        <r>
          <rPr>
            <sz val="9"/>
            <color indexed="81"/>
            <rFont val="Tahoma"/>
            <family val="2"/>
          </rPr>
          <t>10K PG 99</t>
        </r>
      </text>
    </comment>
    <comment ref="I27" authorId="3" shapeId="0" xr:uid="{00000000-0006-0000-0200-00000E000000}">
      <text>
        <r>
          <rPr>
            <sz val="9"/>
            <color indexed="81"/>
            <rFont val="Tahoma"/>
            <family val="2"/>
          </rPr>
          <t>10K PG 99</t>
        </r>
      </text>
    </comment>
    <comment ref="J27" authorId="1" shapeId="0" xr:uid="{C5137C34-37AB-412F-93AB-F480DBBF5E75}">
      <text>
        <r>
          <rPr>
            <sz val="9"/>
            <color indexed="81"/>
            <rFont val="Tahoma"/>
            <family val="2"/>
          </rPr>
          <t>10K PG 99</t>
        </r>
      </text>
    </comment>
    <comment ref="G28" authorId="0" shapeId="0" xr:uid="{2AF261B2-11EC-499B-BED3-232E69344042}">
      <text>
        <r>
          <rPr>
            <b/>
            <sz val="9"/>
            <color indexed="81"/>
            <rFont val="Tahoma"/>
            <family val="2"/>
          </rPr>
          <t>rev4175:</t>
        </r>
        <r>
          <rPr>
            <sz val="9"/>
            <color indexed="81"/>
            <rFont val="Tahoma"/>
            <family val="2"/>
          </rPr>
          <t xml:space="preserve">
12/29 Close</t>
        </r>
      </text>
    </comment>
    <comment ref="H28" authorId="1" shapeId="0" xr:uid="{00000000-0006-0000-0200-000010000000}">
      <text>
        <r>
          <rPr>
            <sz val="9"/>
            <color indexed="81"/>
            <rFont val="Tahoma"/>
            <family val="2"/>
          </rPr>
          <t>10K PG 60</t>
        </r>
      </text>
    </comment>
    <comment ref="J28" authorId="1" shapeId="0" xr:uid="{00000000-0006-0000-0200-000012000000}">
      <text>
        <r>
          <rPr>
            <sz val="9"/>
            <color indexed="81"/>
            <rFont val="Tahoma"/>
            <family val="2"/>
          </rPr>
          <t>Page 59 of PDF, 10-K</t>
        </r>
      </text>
    </comment>
    <comment ref="G29" authorId="0" shapeId="0" xr:uid="{4D83FD86-9D23-4599-ADEF-5B9E4BEFC5EE}">
      <text>
        <r>
          <rPr>
            <b/>
            <sz val="9"/>
            <color indexed="81"/>
            <rFont val="Tahoma"/>
            <family val="2"/>
          </rPr>
          <t>rev4175:</t>
        </r>
        <r>
          <rPr>
            <sz val="9"/>
            <color indexed="81"/>
            <rFont val="Tahoma"/>
            <family val="2"/>
          </rPr>
          <t xml:space="preserve">
12/29 Close</t>
        </r>
      </text>
    </comment>
    <comment ref="H29" authorId="1" shapeId="0" xr:uid="{00000000-0006-0000-0200-000013000000}">
      <text>
        <r>
          <rPr>
            <sz val="9"/>
            <color indexed="81"/>
            <rFont val="Tahoma"/>
            <family val="2"/>
          </rPr>
          <t>10K PG 79</t>
        </r>
      </text>
    </comment>
    <comment ref="I29" authorId="4" shapeId="0" xr:uid="{00000000-0006-0000-0200-000014000000}">
      <text>
        <r>
          <rPr>
            <sz val="9"/>
            <color indexed="81"/>
            <rFont val="Tahoma"/>
            <family val="2"/>
          </rPr>
          <t>10K PG 79</t>
        </r>
      </text>
    </comment>
    <comment ref="J29" authorId="1" shapeId="0" xr:uid="{00000000-0006-0000-0200-000015000000}">
      <text>
        <r>
          <rPr>
            <sz val="9"/>
            <color indexed="81"/>
            <rFont val="Tahoma"/>
            <family val="2"/>
          </rPr>
          <t>Page 75 of PDF, 10-K</t>
        </r>
      </text>
    </comment>
    <comment ref="G30" authorId="0" shapeId="0" xr:uid="{63825D09-0AAB-44CA-B1E5-1B72441C7BC2}">
      <text>
        <r>
          <rPr>
            <b/>
            <sz val="9"/>
            <color indexed="81"/>
            <rFont val="Tahoma"/>
            <family val="2"/>
          </rPr>
          <t>rev4175:</t>
        </r>
        <r>
          <rPr>
            <sz val="9"/>
            <color indexed="81"/>
            <rFont val="Tahoma"/>
            <family val="2"/>
          </rPr>
          <t xml:space="preserve">
12/29 Close</t>
        </r>
      </text>
    </comment>
    <comment ref="H30" authorId="1" shapeId="0" xr:uid="{00000000-0006-0000-0200-000016000000}">
      <text>
        <r>
          <rPr>
            <sz val="9"/>
            <color indexed="81"/>
            <rFont val="Tahoma"/>
            <family val="2"/>
          </rPr>
          <t>10K PG 45</t>
        </r>
      </text>
    </comment>
    <comment ref="J30" authorId="1" shapeId="0" xr:uid="{00000000-0006-0000-0200-000018000000}">
      <text>
        <r>
          <rPr>
            <sz val="9"/>
            <color indexed="81"/>
            <rFont val="Tahoma"/>
            <family val="2"/>
          </rPr>
          <t>10K PG 45</t>
        </r>
      </text>
    </comment>
    <comment ref="G31" authorId="0" shapeId="0" xr:uid="{DFE2C7CD-0D25-492F-ACC3-665A43126175}">
      <text>
        <r>
          <rPr>
            <b/>
            <sz val="9"/>
            <color indexed="81"/>
            <rFont val="Tahoma"/>
            <family val="2"/>
          </rPr>
          <t>rev4175:</t>
        </r>
        <r>
          <rPr>
            <sz val="9"/>
            <color indexed="81"/>
            <rFont val="Tahoma"/>
            <family val="2"/>
          </rPr>
          <t xml:space="preserve">
12/29 Close</t>
        </r>
      </text>
    </comment>
    <comment ref="H31" authorId="5" shapeId="0" xr:uid="{905F2E1B-5CF7-497E-9B76-34766AB716A3}">
      <text>
        <r>
          <rPr>
            <sz val="9"/>
            <color indexed="81"/>
            <rFont val="Tahoma"/>
            <family val="2"/>
          </rPr>
          <t xml:space="preserve">10K PG 77
</t>
        </r>
      </text>
    </comment>
    <comment ref="J31" authorId="5" shapeId="0" xr:uid="{4305D83A-1D29-4823-8982-3853361AB0DB}">
      <text>
        <r>
          <rPr>
            <sz val="9"/>
            <color indexed="81"/>
            <rFont val="Tahoma"/>
            <family val="2"/>
          </rPr>
          <t>10K PG 77</t>
        </r>
      </text>
    </comment>
    <comment ref="G32" authorId="0" shapeId="0" xr:uid="{A8156C17-D4E2-45BD-A4C3-B2ECFDD44277}">
      <text>
        <r>
          <rPr>
            <b/>
            <sz val="9"/>
            <color indexed="81"/>
            <rFont val="Tahoma"/>
            <family val="2"/>
          </rPr>
          <t>rev4175:</t>
        </r>
        <r>
          <rPr>
            <sz val="9"/>
            <color indexed="81"/>
            <rFont val="Tahoma"/>
            <family val="2"/>
          </rPr>
          <t xml:space="preserve">
12/29 Close</t>
        </r>
      </text>
    </comment>
    <comment ref="H32" authorId="1" shapeId="0" xr:uid="{00000000-0006-0000-0200-000019000000}">
      <text>
        <r>
          <rPr>
            <sz val="9"/>
            <color indexed="81"/>
            <rFont val="Tahoma"/>
            <family val="2"/>
          </rPr>
          <t>10K PG 82</t>
        </r>
      </text>
    </comment>
    <comment ref="J32" authorId="1" shapeId="0" xr:uid="{00000000-0006-0000-0200-00001A000000}">
      <text>
        <r>
          <rPr>
            <sz val="9"/>
            <color indexed="81"/>
            <rFont val="Tahoma"/>
            <family val="2"/>
          </rPr>
          <t>10K PG 82</t>
        </r>
      </text>
    </comment>
    <comment ref="G33" authorId="0" shapeId="0" xr:uid="{CD62E6D2-4069-4273-86A0-0C926CDF77BE}">
      <text>
        <r>
          <rPr>
            <b/>
            <sz val="9"/>
            <color indexed="81"/>
            <rFont val="Tahoma"/>
            <family val="2"/>
          </rPr>
          <t>rev4175:</t>
        </r>
        <r>
          <rPr>
            <sz val="9"/>
            <color indexed="81"/>
            <rFont val="Tahoma"/>
            <family val="2"/>
          </rPr>
          <t xml:space="preserve">
12/29 Close</t>
        </r>
      </text>
    </comment>
    <comment ref="H33" authorId="1" shapeId="0" xr:uid="{00000000-0006-0000-0200-00001D000000}">
      <text>
        <r>
          <rPr>
            <sz val="9"/>
            <color indexed="81"/>
            <rFont val="Tahoma"/>
            <family val="2"/>
          </rPr>
          <t>10K PG 48</t>
        </r>
      </text>
    </comment>
    <comment ref="J33" authorId="1" shapeId="0" xr:uid="{00000000-0006-0000-0200-00001E000000}">
      <text>
        <r>
          <rPr>
            <sz val="9"/>
            <color indexed="81"/>
            <rFont val="Tahoma"/>
            <family val="2"/>
          </rPr>
          <t>Page 46 of PDF, 10-K</t>
        </r>
      </text>
    </comment>
    <comment ref="G34" authorId="0" shapeId="0" xr:uid="{57626D1A-2369-4F93-A2B8-6F1B98A8E194}">
      <text>
        <r>
          <rPr>
            <b/>
            <sz val="9"/>
            <color indexed="81"/>
            <rFont val="Tahoma"/>
            <family val="2"/>
          </rPr>
          <t>rev4175:</t>
        </r>
        <r>
          <rPr>
            <sz val="9"/>
            <color indexed="81"/>
            <rFont val="Tahoma"/>
            <family val="2"/>
          </rPr>
          <t xml:space="preserve">
12/29 Close</t>
        </r>
      </text>
    </comment>
    <comment ref="H34" authorId="1" shapeId="0" xr:uid="{00000000-0006-0000-0200-00001F000000}">
      <text>
        <r>
          <rPr>
            <sz val="9"/>
            <color indexed="81"/>
            <rFont val="Tahoma"/>
            <family val="2"/>
          </rPr>
          <t>10K PG 42</t>
        </r>
      </text>
    </comment>
    <comment ref="J34" authorId="1" shapeId="0" xr:uid="{00000000-0006-0000-0200-000020000000}">
      <text>
        <r>
          <rPr>
            <sz val="9"/>
            <color indexed="81"/>
            <rFont val="Tahoma"/>
            <family val="2"/>
          </rPr>
          <t>10K PG 42</t>
        </r>
      </text>
    </comment>
    <comment ref="G35" authorId="0" shapeId="0" xr:uid="{BAC661B1-D384-4946-8523-AC8300ECBAB2}">
      <text>
        <r>
          <rPr>
            <b/>
            <sz val="9"/>
            <color indexed="81"/>
            <rFont val="Tahoma"/>
            <family val="2"/>
          </rPr>
          <t>rev4175:</t>
        </r>
        <r>
          <rPr>
            <sz val="9"/>
            <color indexed="81"/>
            <rFont val="Tahoma"/>
            <family val="2"/>
          </rPr>
          <t xml:space="preserve">
12/29 Close</t>
        </r>
      </text>
    </comment>
    <comment ref="H35" authorId="1" shapeId="0" xr:uid="{00000000-0006-0000-0200-000021000000}">
      <text>
        <r>
          <rPr>
            <sz val="9"/>
            <color indexed="81"/>
            <rFont val="Tahoma"/>
            <family val="2"/>
          </rPr>
          <t>10K PG 77 AT THE BOTTOM</t>
        </r>
      </text>
    </comment>
    <comment ref="J35" authorId="1" shapeId="0" xr:uid="{00000000-0006-0000-0200-000022000000}">
      <text>
        <r>
          <rPr>
            <sz val="9"/>
            <color indexed="81"/>
            <rFont val="Tahoma"/>
            <family val="2"/>
          </rPr>
          <t xml:space="preserve">10K PG 77 </t>
        </r>
      </text>
    </comment>
    <comment ref="G36" authorId="0" shapeId="0" xr:uid="{A5AC6234-CA4C-4ECC-AB64-9D8FF9331135}">
      <text>
        <r>
          <rPr>
            <b/>
            <sz val="9"/>
            <color indexed="81"/>
            <rFont val="Tahoma"/>
            <family val="2"/>
          </rPr>
          <t>rev4175:</t>
        </r>
        <r>
          <rPr>
            <sz val="9"/>
            <color indexed="81"/>
            <rFont val="Tahoma"/>
            <family val="2"/>
          </rPr>
          <t xml:space="preserve">
12/29 Close</t>
        </r>
      </text>
    </comment>
    <comment ref="H36" authorId="1" shapeId="0" xr:uid="{00000000-0006-0000-0200-000023000000}">
      <text>
        <r>
          <rPr>
            <sz val="9"/>
            <color indexed="81"/>
            <rFont val="Tahoma"/>
            <family val="2"/>
          </rPr>
          <t>10K PG II-79</t>
        </r>
      </text>
    </comment>
    <comment ref="J36" authorId="1" shapeId="0" xr:uid="{00000000-0006-0000-0200-000025000000}">
      <text>
        <r>
          <rPr>
            <sz val="9"/>
            <color indexed="81"/>
            <rFont val="Tahoma"/>
            <family val="2"/>
          </rPr>
          <t>10K PG II-79</t>
        </r>
      </text>
    </comment>
    <comment ref="G37" authorId="0" shapeId="0" xr:uid="{88E856A7-8701-414A-8D87-FFC5BEC48836}">
      <text>
        <r>
          <rPr>
            <b/>
            <sz val="9"/>
            <color indexed="81"/>
            <rFont val="Tahoma"/>
            <family val="2"/>
          </rPr>
          <t>rev4175:</t>
        </r>
        <r>
          <rPr>
            <sz val="9"/>
            <color indexed="81"/>
            <rFont val="Tahoma"/>
            <family val="2"/>
          </rPr>
          <t xml:space="preserve">
12/29 Close</t>
        </r>
      </text>
    </comment>
    <comment ref="H37" authorId="1" shapeId="0" xr:uid="{00000000-0006-0000-0200-000026000000}">
      <text>
        <r>
          <rPr>
            <sz val="9"/>
            <color indexed="81"/>
            <rFont val="Tahoma"/>
            <family val="2"/>
          </rPr>
          <t>10K PG 89</t>
        </r>
      </text>
    </comment>
    <comment ref="I37" authorId="1" shapeId="0" xr:uid="{00000000-0006-0000-0200-000027000000}">
      <text>
        <r>
          <rPr>
            <sz val="9"/>
            <color indexed="81"/>
            <rFont val="Tahoma"/>
            <family val="2"/>
          </rPr>
          <t>10K PG 89</t>
        </r>
      </text>
    </comment>
    <comment ref="J37" authorId="5" shapeId="0" xr:uid="{70480840-1634-44B4-91A8-5182C669532E}">
      <text>
        <r>
          <rPr>
            <sz val="9"/>
            <color indexed="81"/>
            <rFont val="Tahoma"/>
            <family val="2"/>
          </rPr>
          <t>10K PG 123 NOTE 14</t>
        </r>
      </text>
    </comment>
    <comment ref="F43" authorId="6" shapeId="0" xr:uid="{CEF678F7-6580-4CF3-AC8E-A803AFF27478}">
      <text>
        <r>
          <rPr>
            <b/>
            <sz val="11"/>
            <color indexed="81"/>
            <rFont val="Tahoma"/>
            <family val="2"/>
          </rPr>
          <t>rev3569:</t>
        </r>
        <r>
          <rPr>
            <sz val="11"/>
            <color indexed="81"/>
            <rFont val="Tahoma"/>
            <family val="2"/>
          </rPr>
          <t xml:space="preserve">
identify present value in 10K</t>
        </r>
      </text>
    </comment>
    <comment ref="F47" authorId="5" shapeId="0" xr:uid="{93AEFF50-0924-4DA6-AD63-457D27DFF07D}">
      <text>
        <r>
          <rPr>
            <b/>
            <sz val="9"/>
            <color indexed="81"/>
            <rFont val="Tahoma"/>
            <family val="2"/>
          </rPr>
          <t>10K PG 83</t>
        </r>
      </text>
    </comment>
    <comment ref="G47" authorId="7" shapeId="0" xr:uid="{00000000-0006-0000-0200-000029000000}">
      <text>
        <r>
          <rPr>
            <sz val="9"/>
            <color indexed="81"/>
            <rFont val="Tahoma"/>
            <family val="2"/>
          </rPr>
          <t>10K PG 100 NOTE 7</t>
        </r>
      </text>
    </comment>
    <comment ref="F48" authorId="5" shapeId="0" xr:uid="{475474B9-E265-4379-B3B6-EA3FE617EBCA}">
      <text>
        <r>
          <rPr>
            <b/>
            <sz val="9"/>
            <color indexed="81"/>
            <rFont val="Tahoma"/>
            <family val="2"/>
          </rPr>
          <t>10K PG 78 NOTE 10</t>
        </r>
      </text>
    </comment>
    <comment ref="G48" authorId="3" shapeId="0" xr:uid="{00000000-0006-0000-0200-00002A000000}">
      <text>
        <r>
          <rPr>
            <sz val="9"/>
            <color indexed="81"/>
            <rFont val="Tahoma"/>
            <family val="2"/>
          </rPr>
          <t>10K PG 93</t>
        </r>
      </text>
    </comment>
    <comment ref="G49" authorId="3" shapeId="0" xr:uid="{00000000-0006-0000-0200-00002B000000}">
      <text>
        <r>
          <rPr>
            <sz val="9"/>
            <color indexed="81"/>
            <rFont val="Tahoma"/>
            <family val="2"/>
          </rPr>
          <t>10K PG 133 NOTE 8</t>
        </r>
      </text>
    </comment>
    <comment ref="F50" authorId="5" shapeId="0" xr:uid="{63373936-8EB4-4F1C-B4F2-DDC0B172CE1C}">
      <text>
        <r>
          <rPr>
            <sz val="9"/>
            <color indexed="81"/>
            <rFont val="Tahoma"/>
            <family val="2"/>
          </rPr>
          <t xml:space="preserve">10K PG 276 NOTE 13 </t>
        </r>
      </text>
    </comment>
    <comment ref="G50" authorId="3" shapeId="0" xr:uid="{00000000-0006-0000-0200-00002C000000}">
      <text>
        <r>
          <rPr>
            <sz val="9"/>
            <color indexed="81"/>
            <rFont val="Tahoma"/>
            <family val="2"/>
          </rPr>
          <t>10K PG 257 NOTE 11</t>
        </r>
      </text>
    </comment>
    <comment ref="F51" authorId="5" shapeId="0" xr:uid="{6A52A2C8-C786-4F3C-889F-D8BFD736E40B}">
      <text>
        <r>
          <rPr>
            <sz val="9"/>
            <color indexed="81"/>
            <rFont val="Tahoma"/>
            <family val="2"/>
          </rPr>
          <t>10K PG 170 NOTE 20</t>
        </r>
      </text>
    </comment>
    <comment ref="G51" authorId="7" shapeId="0" xr:uid="{00000000-0006-0000-0200-00002D000000}">
      <text>
        <r>
          <rPr>
            <sz val="9"/>
            <color indexed="81"/>
            <rFont val="Tahoma"/>
            <family val="2"/>
          </rPr>
          <t>10K PG 141 NOTE 10</t>
        </r>
      </text>
    </comment>
    <comment ref="F52" authorId="5" shapeId="0" xr:uid="{752870AB-F83B-4623-84D7-DE2AB35CFCF4}">
      <text>
        <r>
          <rPr>
            <sz val="9"/>
            <color indexed="81"/>
            <rFont val="Tahoma"/>
            <family val="2"/>
          </rPr>
          <t>10K PG 143 NOTE 8</t>
        </r>
      </text>
    </comment>
    <comment ref="G52" authorId="7" shapeId="0" xr:uid="{00000000-0006-0000-0200-00002E000000}">
      <text>
        <r>
          <rPr>
            <sz val="9"/>
            <color indexed="81"/>
            <rFont val="Tahoma"/>
            <family val="2"/>
          </rPr>
          <t xml:space="preserve">10K PG 134 NOTE 6
</t>
        </r>
      </text>
    </comment>
    <comment ref="F53" authorId="5" shapeId="0" xr:uid="{85885D97-24C4-41FD-8155-C17FBD20C35C}">
      <text>
        <r>
          <rPr>
            <sz val="9"/>
            <color indexed="81"/>
            <rFont val="Tahoma"/>
            <family val="2"/>
          </rPr>
          <t>10K PG 122 NOTE 17</t>
        </r>
      </text>
    </comment>
    <comment ref="G53" authorId="7" shapeId="0" xr:uid="{00000000-0006-0000-0200-00002F000000}">
      <text>
        <r>
          <rPr>
            <sz val="9"/>
            <color indexed="81"/>
            <rFont val="Tahoma"/>
            <family val="2"/>
          </rPr>
          <t>Page 109 / 112 of PDF, 10-K</t>
        </r>
      </text>
    </comment>
    <comment ref="F54" authorId="5" shapeId="0" xr:uid="{13DB9954-9406-442A-BA0A-66F028123C85}">
      <text>
        <r>
          <rPr>
            <sz val="9"/>
            <color indexed="81"/>
            <rFont val="Tahoma"/>
            <family val="2"/>
          </rPr>
          <t>10K PG 159 NOTE 6</t>
        </r>
      </text>
    </comment>
    <comment ref="G54" authorId="7" shapeId="0" xr:uid="{00000000-0006-0000-0200-000030000000}">
      <text>
        <r>
          <rPr>
            <sz val="9"/>
            <color indexed="81"/>
            <rFont val="Tahoma"/>
            <family val="2"/>
          </rPr>
          <t>10K PG 192 NOTE 17</t>
        </r>
      </text>
    </comment>
    <comment ref="F55" authorId="5" shapeId="0" xr:uid="{0CF17D56-878C-40B2-8813-18D7A6AB3D7D}">
      <text>
        <r>
          <rPr>
            <sz val="9"/>
            <color indexed="81"/>
            <rFont val="Tahoma"/>
            <family val="2"/>
          </rPr>
          <t>10K PG 169 NOTE 10</t>
        </r>
      </text>
    </comment>
    <comment ref="G55" authorId="7" shapeId="0" xr:uid="{FFC7F4A7-FB3E-4AEA-B8BF-E8A827A168BA}">
      <text>
        <r>
          <rPr>
            <sz val="9"/>
            <color indexed="81"/>
            <rFont val="Tahoma"/>
            <family val="2"/>
          </rPr>
          <t>Page 142 of PDF, 10-K</t>
        </r>
      </text>
    </comment>
    <comment ref="F56" authorId="5" shapeId="0" xr:uid="{2A8E0A64-059C-44ED-B434-EB8A3CC9EB54}">
      <text>
        <r>
          <rPr>
            <sz val="9"/>
            <color indexed="81"/>
            <rFont val="Tahoma"/>
            <family val="2"/>
          </rPr>
          <t>10K PG 160 NOTE 21</t>
        </r>
      </text>
    </comment>
    <comment ref="G56" authorId="7" shapeId="0" xr:uid="{AAF0DF28-195B-4EDB-8FAE-8AF53FAA299A}">
      <text>
        <r>
          <rPr>
            <sz val="9"/>
            <color indexed="81"/>
            <rFont val="Tahoma"/>
            <family val="2"/>
          </rPr>
          <t>10K PG 138 NOTE 14</t>
        </r>
      </text>
    </comment>
    <comment ref="F57" authorId="5" shapeId="0" xr:uid="{A80E4ABD-662F-4CF2-99A5-8AE7215E5A4B}">
      <text>
        <r>
          <rPr>
            <sz val="9"/>
            <color indexed="81"/>
            <rFont val="Tahoma"/>
            <family val="2"/>
          </rPr>
          <t xml:space="preserve">10K PG 106 NOTE 8
</t>
        </r>
      </text>
    </comment>
    <comment ref="G57" authorId="7" shapeId="0" xr:uid="{00000000-0006-0000-0200-000032000000}">
      <text>
        <r>
          <rPr>
            <sz val="9"/>
            <color indexed="81"/>
            <rFont val="Tahoma"/>
            <family val="2"/>
          </rPr>
          <t>10K PG 110 NOTE 10</t>
        </r>
      </text>
    </comment>
    <comment ref="F58" authorId="5" shapeId="0" xr:uid="{71947A63-E4F3-4B1A-BA2E-B2E4B918ABA2}">
      <text>
        <r>
          <rPr>
            <sz val="9"/>
            <color indexed="81"/>
            <rFont val="Tahoma"/>
            <family val="2"/>
          </rPr>
          <t>10K PG 74 NOTE 4</t>
        </r>
      </text>
    </comment>
    <comment ref="G58" authorId="7" shapeId="0" xr:uid="{00000000-0006-0000-0200-000034000000}">
      <text>
        <r>
          <rPr>
            <sz val="9"/>
            <color indexed="81"/>
            <rFont val="Tahoma"/>
            <family val="2"/>
          </rPr>
          <t>10K PG 74 NOTE 5</t>
        </r>
      </text>
    </comment>
    <comment ref="F59" authorId="5" shapeId="0" xr:uid="{76CE51A2-9F06-48C0-8231-C19241B9E231}">
      <text>
        <r>
          <rPr>
            <sz val="11"/>
            <color indexed="81"/>
            <rFont val="Tahoma"/>
            <family val="2"/>
          </rPr>
          <t>10K PG 58 NOTE 8</t>
        </r>
      </text>
    </comment>
    <comment ref="G59" authorId="7" shapeId="0" xr:uid="{00000000-0006-0000-0200-000035000000}">
      <text>
        <r>
          <rPr>
            <sz val="9"/>
            <color indexed="81"/>
            <rFont val="Tahoma"/>
            <family val="2"/>
          </rPr>
          <t>10K PG 72 NOTE 19</t>
        </r>
      </text>
    </comment>
    <comment ref="F60" authorId="5" shapeId="0" xr:uid="{02694EC2-9939-4899-A98A-946B11CD4E11}">
      <text>
        <r>
          <rPr>
            <b/>
            <sz val="9"/>
            <color indexed="81"/>
            <rFont val="Tahoma"/>
            <family val="2"/>
          </rPr>
          <t>Baker, Mike A (DOR): See 10K  page 162 of PDF</t>
        </r>
        <r>
          <rPr>
            <sz val="9"/>
            <color indexed="81"/>
            <rFont val="Tahoma"/>
            <family val="2"/>
          </rPr>
          <t xml:space="preserve">
</t>
        </r>
      </text>
    </comment>
    <comment ref="G60" authorId="7" shapeId="0" xr:uid="{00000000-0006-0000-0200-000036000000}">
      <text>
        <r>
          <rPr>
            <sz val="9"/>
            <color indexed="81"/>
            <rFont val="Tahoma"/>
            <family val="2"/>
          </rPr>
          <t>10K PG 171 NOTE 16</t>
        </r>
      </text>
    </comment>
    <comment ref="F61" authorId="5" shapeId="0" xr:uid="{8CA13169-F88E-47F3-89FB-1BDD11394E0D}">
      <text>
        <r>
          <rPr>
            <sz val="9"/>
            <color indexed="81"/>
            <rFont val="Tahoma"/>
            <family val="2"/>
          </rPr>
          <t xml:space="preserve"> 10K PG II-79</t>
        </r>
      </text>
    </comment>
    <comment ref="G61" authorId="7" shapeId="0" xr:uid="{00000000-0006-0000-0200-000037000000}">
      <text>
        <r>
          <rPr>
            <sz val="9"/>
            <color indexed="81"/>
            <rFont val="Tahoma"/>
            <family val="2"/>
          </rPr>
          <t>10K PG II-239 NOTE 13</t>
        </r>
      </text>
    </comment>
    <comment ref="F62" authorId="5" shapeId="0" xr:uid="{C0FA3A64-8B8F-4056-BDE0-9D477E82BC73}">
      <text>
        <r>
          <rPr>
            <sz val="9"/>
            <color indexed="81"/>
            <rFont val="Tahoma"/>
            <family val="2"/>
          </rPr>
          <t>10K PG 128 NOTE 15</t>
        </r>
      </text>
    </comment>
    <comment ref="G62" authorId="7" shapeId="0" xr:uid="{00000000-0006-0000-0200-000039000000}">
      <text>
        <r>
          <rPr>
            <sz val="9"/>
            <color indexed="81"/>
            <rFont val="Tahoma"/>
            <family val="2"/>
          </rPr>
          <t>10K PG 132 NOTE 17 
FV PLUS NOTE UNDERNEATH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
  <commentList>
    <comment ref="E22" authorId="0" shapeId="0" xr:uid="{4FEA1386-2744-4761-93C5-D8F44E476027}">
      <text>
        <r>
          <rPr>
            <b/>
            <sz val="9"/>
            <color indexed="81"/>
            <rFont val="Tahoma"/>
            <family val="2"/>
          </rPr>
          <t>Baker, Mike A (DOR):</t>
        </r>
        <r>
          <rPr>
            <sz val="9"/>
            <color indexed="81"/>
            <rFont val="Tahoma"/>
            <family val="2"/>
          </rPr>
          <t xml:space="preserve">
Removed noncontrolling interests equity</t>
        </r>
      </text>
    </comment>
    <comment ref="E23" authorId="1" shapeId="0" xr:uid="{8C39553E-8730-4549-AADF-F9E4087FF2F0}">
      <text>
        <r>
          <rPr>
            <b/>
            <sz val="9"/>
            <color indexed="81"/>
            <rFont val="Tahoma"/>
            <family val="2"/>
          </rPr>
          <t>rev4279:</t>
        </r>
        <r>
          <rPr>
            <sz val="9"/>
            <color indexed="81"/>
            <rFont val="Tahoma"/>
            <family val="2"/>
          </rPr>
          <t xml:space="preserve">
10K PG 48</t>
        </r>
      </text>
    </comment>
    <comment ref="E24" authorId="1" shapeId="0" xr:uid="{86561DB9-EBA7-4F83-9D21-E624B049D054}">
      <text>
        <r>
          <rPr>
            <b/>
            <sz val="9"/>
            <color indexed="81"/>
            <rFont val="Tahoma"/>
            <family val="2"/>
          </rPr>
          <t>rev4279:</t>
        </r>
        <r>
          <rPr>
            <sz val="9"/>
            <color indexed="81"/>
            <rFont val="Tahoma"/>
            <family val="2"/>
          </rPr>
          <t xml:space="preserve">
10K PG 89</t>
        </r>
      </text>
    </comment>
    <comment ref="E25" authorId="1" shapeId="0" xr:uid="{E9CFF420-F60C-4CBD-B923-6DF2BF219F9A}">
      <text>
        <r>
          <rPr>
            <b/>
            <sz val="9"/>
            <color indexed="81"/>
            <rFont val="Tahoma"/>
            <family val="2"/>
          </rPr>
          <t>rev4279:</t>
        </r>
        <r>
          <rPr>
            <sz val="9"/>
            <color indexed="81"/>
            <rFont val="Tahoma"/>
            <family val="2"/>
          </rPr>
          <t xml:space="preserve">
10K PG 94</t>
        </r>
      </text>
    </comment>
    <comment ref="E26" authorId="0" shapeId="0" xr:uid="{485F2D08-3B78-4713-B1B4-8C8BF30BE987}">
      <text>
        <r>
          <rPr>
            <sz val="9"/>
            <color indexed="81"/>
            <rFont val="Tahoma"/>
            <family val="2"/>
          </rPr>
          <t>10K PG 89
REMOVE PREFERRED STOCK IF THERE IS ANY</t>
        </r>
      </text>
    </comment>
    <comment ref="E27" authorId="1" shapeId="0" xr:uid="{DC1F5935-7040-4FEF-9E91-0FA9877A1B06}">
      <text>
        <r>
          <rPr>
            <b/>
            <sz val="9"/>
            <color indexed="81"/>
            <rFont val="Tahoma"/>
            <family val="2"/>
          </rPr>
          <t>rev4279:</t>
        </r>
        <r>
          <rPr>
            <sz val="9"/>
            <color indexed="81"/>
            <rFont val="Tahoma"/>
            <family val="2"/>
          </rPr>
          <t xml:space="preserve">
10K PG 99</t>
        </r>
      </text>
    </comment>
    <comment ref="E28" authorId="1" shapeId="0" xr:uid="{6CED65F7-296C-4685-BB3D-795B2A110E2F}">
      <text>
        <r>
          <rPr>
            <b/>
            <sz val="9"/>
            <color indexed="81"/>
            <rFont val="Tahoma"/>
            <family val="2"/>
          </rPr>
          <t>rev4279:</t>
        </r>
        <r>
          <rPr>
            <sz val="9"/>
            <color indexed="81"/>
            <rFont val="Tahoma"/>
            <family val="2"/>
          </rPr>
          <t xml:space="preserve">
10K PG 60</t>
        </r>
      </text>
    </comment>
    <comment ref="E29" authorId="1" shapeId="0" xr:uid="{7E58F6CD-0419-4F74-B7F2-8047E7E65CD9}">
      <text>
        <r>
          <rPr>
            <b/>
            <sz val="9"/>
            <color indexed="81"/>
            <rFont val="Tahoma"/>
            <family val="2"/>
          </rPr>
          <t>rev4279:</t>
        </r>
        <r>
          <rPr>
            <sz val="9"/>
            <color indexed="81"/>
            <rFont val="Tahoma"/>
            <family val="2"/>
          </rPr>
          <t xml:space="preserve">
10K PG 79</t>
        </r>
      </text>
    </comment>
    <comment ref="E30" authorId="1" shapeId="0" xr:uid="{DE56AC4B-0A19-4721-9968-179451DEEFFA}">
      <text>
        <r>
          <rPr>
            <b/>
            <sz val="9"/>
            <color indexed="81"/>
            <rFont val="Tahoma"/>
            <family val="2"/>
          </rPr>
          <t>rev4279:</t>
        </r>
        <r>
          <rPr>
            <sz val="9"/>
            <color indexed="81"/>
            <rFont val="Tahoma"/>
            <family val="2"/>
          </rPr>
          <t xml:space="preserve">
10K PG 45</t>
        </r>
      </text>
    </comment>
    <comment ref="E31" authorId="1" shapeId="0" xr:uid="{03CAFA61-BFA7-4BB9-A2EC-424AFB9CFEB6}">
      <text>
        <r>
          <rPr>
            <b/>
            <sz val="9"/>
            <color indexed="81"/>
            <rFont val="Tahoma"/>
            <family val="2"/>
          </rPr>
          <t>rev4279:</t>
        </r>
        <r>
          <rPr>
            <sz val="9"/>
            <color indexed="81"/>
            <rFont val="Tahoma"/>
            <family val="2"/>
          </rPr>
          <t xml:space="preserve">
10K PG 77</t>
        </r>
      </text>
    </comment>
    <comment ref="E32" authorId="1" shapeId="0" xr:uid="{4A8D173F-E304-4309-9F29-D52C373B4872}">
      <text>
        <r>
          <rPr>
            <b/>
            <sz val="9"/>
            <color indexed="81"/>
            <rFont val="Tahoma"/>
            <family val="2"/>
          </rPr>
          <t>rev4279:</t>
        </r>
        <r>
          <rPr>
            <sz val="9"/>
            <color indexed="81"/>
            <rFont val="Tahoma"/>
            <family val="2"/>
          </rPr>
          <t xml:space="preserve">
10K PG 82</t>
        </r>
      </text>
    </comment>
    <comment ref="E33" authorId="1" shapeId="0" xr:uid="{7142323E-6362-43F1-B06C-AE16831E5D11}">
      <text>
        <r>
          <rPr>
            <b/>
            <sz val="9"/>
            <color indexed="81"/>
            <rFont val="Tahoma"/>
            <family val="2"/>
          </rPr>
          <t>rev4279:</t>
        </r>
        <r>
          <rPr>
            <sz val="9"/>
            <color indexed="81"/>
            <rFont val="Tahoma"/>
            <family val="2"/>
          </rPr>
          <t xml:space="preserve">
10K PG 52</t>
        </r>
      </text>
    </comment>
    <comment ref="E34" authorId="1" shapeId="0" xr:uid="{804186A9-78FA-4BD7-9B77-80F1175A08A0}">
      <text>
        <r>
          <rPr>
            <b/>
            <sz val="9"/>
            <color indexed="81"/>
            <rFont val="Tahoma"/>
            <family val="2"/>
          </rPr>
          <t>rev4279:</t>
        </r>
        <r>
          <rPr>
            <sz val="9"/>
            <color indexed="81"/>
            <rFont val="Tahoma"/>
            <family val="2"/>
          </rPr>
          <t xml:space="preserve">
10K PG 42</t>
        </r>
      </text>
    </comment>
    <comment ref="E35" authorId="0" shapeId="0" xr:uid="{7504FF26-3DB6-4EF8-B9DF-CA5659494596}">
      <text>
        <r>
          <rPr>
            <sz val="9"/>
            <color indexed="81"/>
            <rFont val="Tahoma"/>
            <family val="2"/>
          </rPr>
          <t>10K PG 77</t>
        </r>
      </text>
    </comment>
    <comment ref="E36" authorId="1" shapeId="0" xr:uid="{0F9D7117-2F51-4C46-8483-CEA31F448CD5}">
      <text>
        <r>
          <rPr>
            <b/>
            <sz val="9"/>
            <color indexed="81"/>
            <rFont val="Tahoma"/>
            <family val="2"/>
          </rPr>
          <t>rev4279:</t>
        </r>
        <r>
          <rPr>
            <sz val="9"/>
            <color indexed="81"/>
            <rFont val="Tahoma"/>
            <family val="2"/>
          </rPr>
          <t xml:space="preserve">
10K PG II-79</t>
        </r>
      </text>
    </comment>
    <comment ref="E37" authorId="1" shapeId="0" xr:uid="{CDCE16C1-3EE2-4627-A8E4-FE68587C5D46}">
      <text>
        <r>
          <rPr>
            <b/>
            <sz val="9"/>
            <color indexed="81"/>
            <rFont val="Tahoma"/>
            <family val="2"/>
          </rPr>
          <t>rev4279:</t>
        </r>
        <r>
          <rPr>
            <sz val="9"/>
            <color indexed="81"/>
            <rFont val="Tahoma"/>
            <family val="2"/>
          </rPr>
          <t xml:space="preserve">
10K PG 89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rev4279</author>
  </authors>
  <commentList>
    <comment ref="D20" authorId="0" shapeId="0" xr:uid="{DC98C3FE-95A8-46D2-B14C-9386F5FDCA03}">
      <text>
        <r>
          <rPr>
            <b/>
            <sz val="9"/>
            <color indexed="81"/>
            <rFont val="Tahoma"/>
            <family val="2"/>
          </rPr>
          <t>rev4279:</t>
        </r>
        <r>
          <rPr>
            <sz val="9"/>
            <color indexed="81"/>
            <rFont val="Tahoma"/>
            <family val="2"/>
          </rPr>
          <t xml:space="preserve">
10K PG 89 NOTE 2</t>
        </r>
      </text>
    </comment>
    <comment ref="E20" authorId="0" shapeId="0" xr:uid="{256FD42D-1EE7-455E-80D5-9697DDCCD70A}">
      <text>
        <r>
          <rPr>
            <b/>
            <sz val="9"/>
            <color indexed="81"/>
            <rFont val="Tahoma"/>
            <family val="2"/>
          </rPr>
          <t>rev4279:</t>
        </r>
        <r>
          <rPr>
            <sz val="9"/>
            <color indexed="81"/>
            <rFont val="Tahoma"/>
            <family val="2"/>
          </rPr>
          <t xml:space="preserve">
10K PG 89 NOTE 2</t>
        </r>
      </text>
    </comment>
    <comment ref="G20" authorId="0" shapeId="0" xr:uid="{57E28231-D93A-4A3A-94DE-1B0FB23E7D38}">
      <text>
        <r>
          <rPr>
            <b/>
            <sz val="9"/>
            <color indexed="81"/>
            <rFont val="Tahoma"/>
            <family val="2"/>
          </rPr>
          <t>rev4279:</t>
        </r>
        <r>
          <rPr>
            <sz val="9"/>
            <color indexed="81"/>
            <rFont val="Tahoma"/>
            <family val="2"/>
          </rPr>
          <t xml:space="preserve">
10K PG 73
</t>
        </r>
      </text>
    </comment>
    <comment ref="D21" authorId="0" shapeId="0" xr:uid="{4CB9B04A-246F-46B1-AEB0-C7325B9BC9C3}">
      <text>
        <r>
          <rPr>
            <b/>
            <sz val="9"/>
            <color indexed="81"/>
            <rFont val="Tahoma"/>
            <family val="2"/>
          </rPr>
          <t>rev4279:</t>
        </r>
        <r>
          <rPr>
            <sz val="9"/>
            <color indexed="81"/>
            <rFont val="Tahoma"/>
            <family val="2"/>
          </rPr>
          <t xml:space="preserve">
10K PG 71 NOTE 3</t>
        </r>
      </text>
    </comment>
    <comment ref="E21" authorId="0" shapeId="0" xr:uid="{BB5904C9-39D6-405D-AAA3-16C7EB074AC1}">
      <text>
        <r>
          <rPr>
            <b/>
            <sz val="9"/>
            <color indexed="81"/>
            <rFont val="Tahoma"/>
            <family val="2"/>
          </rPr>
          <t>rev4279:</t>
        </r>
        <r>
          <rPr>
            <sz val="9"/>
            <color indexed="81"/>
            <rFont val="Tahoma"/>
            <family val="2"/>
          </rPr>
          <t xml:space="preserve">
10K PG 71 NOTE 3</t>
        </r>
      </text>
    </comment>
    <comment ref="G21" authorId="0" shapeId="0" xr:uid="{2AAD7782-C1DC-4C00-B312-AC41E57F3F4E}">
      <text>
        <r>
          <rPr>
            <b/>
            <sz val="9"/>
            <color indexed="81"/>
            <rFont val="Tahoma"/>
            <family val="2"/>
          </rPr>
          <t>rev4279:</t>
        </r>
        <r>
          <rPr>
            <sz val="9"/>
            <color indexed="81"/>
            <rFont val="Tahoma"/>
            <family val="2"/>
          </rPr>
          <t xml:space="preserve">
10K PG 47</t>
        </r>
      </text>
    </comment>
    <comment ref="D22" authorId="0" shapeId="0" xr:uid="{193F8C9E-68C0-4D68-B591-7FC55D54C9DE}">
      <text>
        <r>
          <rPr>
            <b/>
            <sz val="9"/>
            <color indexed="81"/>
            <rFont val="Tahoma"/>
            <family val="2"/>
          </rPr>
          <t>rev4279:</t>
        </r>
        <r>
          <rPr>
            <sz val="9"/>
            <color indexed="81"/>
            <rFont val="Tahoma"/>
            <family val="2"/>
          </rPr>
          <t xml:space="preserve">
10K PG 116 NOTE 3</t>
        </r>
      </text>
    </comment>
    <comment ref="G22" authorId="0" shapeId="0" xr:uid="{0FE3BBBD-A39B-47B9-ABEB-727FBFFDA867}">
      <text>
        <r>
          <rPr>
            <b/>
            <sz val="9"/>
            <color indexed="81"/>
            <rFont val="Tahoma"/>
            <family val="2"/>
          </rPr>
          <t>rev4279:</t>
        </r>
        <r>
          <rPr>
            <sz val="9"/>
            <color indexed="81"/>
            <rFont val="Tahoma"/>
            <family val="2"/>
          </rPr>
          <t xml:space="preserve">
10K PG 88</t>
        </r>
      </text>
    </comment>
    <comment ref="D23" authorId="0" shapeId="0" xr:uid="{0504FF36-8AEE-4DC1-A299-732474791163}">
      <text>
        <r>
          <rPr>
            <b/>
            <sz val="9"/>
            <color indexed="81"/>
            <rFont val="Tahoma"/>
            <family val="2"/>
          </rPr>
          <t>rev4279:</t>
        </r>
        <r>
          <rPr>
            <sz val="9"/>
            <color indexed="81"/>
            <rFont val="Tahoma"/>
            <family val="2"/>
          </rPr>
          <t xml:space="preserve">
10K PG 93</t>
        </r>
      </text>
    </comment>
    <comment ref="E23" authorId="0" shapeId="0" xr:uid="{74D2CDC2-4FC4-4727-895C-2F0C05F8A788}">
      <text>
        <r>
          <rPr>
            <b/>
            <sz val="9"/>
            <color indexed="81"/>
            <rFont val="Tahoma"/>
            <family val="2"/>
          </rPr>
          <t>rev4279:</t>
        </r>
        <r>
          <rPr>
            <sz val="9"/>
            <color indexed="81"/>
            <rFont val="Tahoma"/>
            <family val="2"/>
          </rPr>
          <t xml:space="preserve">
10K PG 93</t>
        </r>
      </text>
    </comment>
    <comment ref="G23" authorId="0" shapeId="0" xr:uid="{DE80A75A-03F1-43DD-B019-79D7002C7C21}">
      <text>
        <r>
          <rPr>
            <b/>
            <sz val="9"/>
            <color indexed="81"/>
            <rFont val="Tahoma"/>
            <family val="2"/>
          </rPr>
          <t>rev4279:</t>
        </r>
        <r>
          <rPr>
            <sz val="9"/>
            <color indexed="81"/>
            <rFont val="Tahoma"/>
            <family val="2"/>
          </rPr>
          <t xml:space="preserve">
10K PG 90</t>
        </r>
      </text>
    </comment>
    <comment ref="D24" authorId="0" shapeId="0" xr:uid="{6ADA7F00-5568-4365-B7EE-F6F9E95575E3}">
      <text>
        <r>
          <rPr>
            <b/>
            <sz val="9"/>
            <color indexed="81"/>
            <rFont val="Tahoma"/>
            <family val="2"/>
          </rPr>
          <t>rev4279:</t>
        </r>
        <r>
          <rPr>
            <sz val="9"/>
            <color indexed="81"/>
            <rFont val="Tahoma"/>
            <family val="2"/>
          </rPr>
          <t xml:space="preserve">
10K PG 112 NOTE 3</t>
        </r>
      </text>
    </comment>
    <comment ref="G24" authorId="0" shapeId="0" xr:uid="{2A1A4AFF-FCBC-4639-8809-CA2B4312D7F8}">
      <text>
        <r>
          <rPr>
            <b/>
            <sz val="9"/>
            <color indexed="81"/>
            <rFont val="Tahoma"/>
            <family val="2"/>
          </rPr>
          <t>rev4279:</t>
        </r>
        <r>
          <rPr>
            <sz val="9"/>
            <color indexed="81"/>
            <rFont val="Tahoma"/>
            <family val="2"/>
          </rPr>
          <t xml:space="preserve">
10K PG 86</t>
        </r>
      </text>
    </comment>
    <comment ref="D25" authorId="0" shapeId="0" xr:uid="{12EBF646-1603-4A57-B760-25E475D603EB}">
      <text>
        <r>
          <rPr>
            <b/>
            <sz val="9"/>
            <color indexed="81"/>
            <rFont val="Tahoma"/>
            <family val="2"/>
          </rPr>
          <t>rev4279:</t>
        </r>
        <r>
          <rPr>
            <sz val="9"/>
            <color indexed="81"/>
            <rFont val="Tahoma"/>
            <family val="2"/>
          </rPr>
          <t xml:space="preserve">
10K PG 98</t>
        </r>
      </text>
    </comment>
    <comment ref="G25" authorId="0" shapeId="0" xr:uid="{3C14AC6C-22B0-49E4-9DF5-C5A2D2A3EE43}">
      <text>
        <r>
          <rPr>
            <b/>
            <sz val="9"/>
            <color indexed="81"/>
            <rFont val="Tahoma"/>
            <family val="2"/>
          </rPr>
          <t>rev4279:</t>
        </r>
        <r>
          <rPr>
            <sz val="9"/>
            <color indexed="81"/>
            <rFont val="Tahoma"/>
            <family val="2"/>
          </rPr>
          <t xml:space="preserve">
10K PG 92</t>
        </r>
      </text>
    </comment>
    <comment ref="D26" authorId="0" shapeId="0" xr:uid="{3CCCE5E1-DC33-483A-B071-6FCCA9FADFB8}">
      <text>
        <r>
          <rPr>
            <b/>
            <sz val="9"/>
            <color indexed="81"/>
            <rFont val="Tahoma"/>
            <family val="2"/>
          </rPr>
          <t>rev4279:</t>
        </r>
        <r>
          <rPr>
            <sz val="9"/>
            <color indexed="81"/>
            <rFont val="Tahoma"/>
            <family val="2"/>
          </rPr>
          <t xml:space="preserve">
10K PG 59</t>
        </r>
      </text>
    </comment>
    <comment ref="G26" authorId="0" shapeId="0" xr:uid="{58A7A9C6-8B4F-4533-862E-45AAC6D3F29F}">
      <text>
        <r>
          <rPr>
            <b/>
            <sz val="9"/>
            <color indexed="81"/>
            <rFont val="Tahoma"/>
            <family val="2"/>
          </rPr>
          <t>rev4279:</t>
        </r>
        <r>
          <rPr>
            <sz val="9"/>
            <color indexed="81"/>
            <rFont val="Tahoma"/>
            <family val="2"/>
          </rPr>
          <t xml:space="preserve">
10K PG 57</t>
        </r>
      </text>
    </comment>
    <comment ref="D27" authorId="0" shapeId="0" xr:uid="{C4AD34F9-25FD-426A-A450-3EA24DC5B668}">
      <text>
        <r>
          <rPr>
            <b/>
            <sz val="9"/>
            <color indexed="81"/>
            <rFont val="Tahoma"/>
            <family val="2"/>
          </rPr>
          <t>rev4279:</t>
        </r>
        <r>
          <rPr>
            <sz val="9"/>
            <color indexed="81"/>
            <rFont val="Tahoma"/>
            <family val="2"/>
          </rPr>
          <t xml:space="preserve">
10K PG 79</t>
        </r>
      </text>
    </comment>
    <comment ref="G27" authorId="0" shapeId="0" xr:uid="{2D7C459D-88C7-4909-92E7-6C77EA244177}">
      <text>
        <r>
          <rPr>
            <b/>
            <sz val="9"/>
            <color indexed="81"/>
            <rFont val="Tahoma"/>
            <family val="2"/>
          </rPr>
          <t>rev4279:</t>
        </r>
        <r>
          <rPr>
            <sz val="9"/>
            <color indexed="81"/>
            <rFont val="Tahoma"/>
            <family val="2"/>
          </rPr>
          <t xml:space="preserve">
10K PG 77</t>
        </r>
      </text>
    </comment>
    <comment ref="D28" authorId="0" shapeId="0" xr:uid="{3E3FF2BB-697C-4220-BBE0-0CFCBE3BB9E1}">
      <text>
        <r>
          <rPr>
            <b/>
            <sz val="9"/>
            <color indexed="81"/>
            <rFont val="Tahoma"/>
            <family val="2"/>
          </rPr>
          <t>rev4279:</t>
        </r>
        <r>
          <rPr>
            <sz val="9"/>
            <color indexed="81"/>
            <rFont val="Tahoma"/>
            <family val="2"/>
          </rPr>
          <t xml:space="preserve">
10K PG 44</t>
        </r>
      </text>
    </comment>
    <comment ref="G28" authorId="0" shapeId="0" xr:uid="{9F01EF30-BB6F-429E-9C88-34D95FDD49B8}">
      <text>
        <r>
          <rPr>
            <b/>
            <sz val="9"/>
            <color indexed="81"/>
            <rFont val="Tahoma"/>
            <family val="2"/>
          </rPr>
          <t>rev4279:</t>
        </r>
        <r>
          <rPr>
            <sz val="9"/>
            <color indexed="81"/>
            <rFont val="Tahoma"/>
            <family val="2"/>
          </rPr>
          <t xml:space="preserve">
10K PG 39</t>
        </r>
      </text>
    </comment>
    <comment ref="D29" authorId="0" shapeId="0" xr:uid="{6C22DDCD-A4C4-439B-A49F-172F3AD8CACB}">
      <text>
        <r>
          <rPr>
            <b/>
            <sz val="9"/>
            <color indexed="81"/>
            <rFont val="Tahoma"/>
            <family val="2"/>
          </rPr>
          <t>rev4279:</t>
        </r>
        <r>
          <rPr>
            <sz val="9"/>
            <color indexed="81"/>
            <rFont val="Tahoma"/>
            <family val="2"/>
          </rPr>
          <t xml:space="preserve">
10K PG 113 NOTE 7</t>
        </r>
      </text>
    </comment>
    <comment ref="G29" authorId="0" shapeId="0" xr:uid="{B4CF8A39-5EE6-4F1A-8D07-65582A59121B}">
      <text>
        <r>
          <rPr>
            <b/>
            <sz val="9"/>
            <color indexed="81"/>
            <rFont val="Tahoma"/>
            <family val="2"/>
          </rPr>
          <t>rev4279:</t>
        </r>
        <r>
          <rPr>
            <sz val="9"/>
            <color indexed="81"/>
            <rFont val="Tahoma"/>
            <family val="2"/>
          </rPr>
          <t xml:space="preserve">
10K PG 75</t>
        </r>
      </text>
    </comment>
    <comment ref="D30" authorId="0" shapeId="0" xr:uid="{C3BCC5FC-4322-49F3-A56E-0322493549D8}">
      <text>
        <r>
          <rPr>
            <b/>
            <sz val="9"/>
            <color indexed="81"/>
            <rFont val="Tahoma"/>
            <family val="2"/>
          </rPr>
          <t>rev4279:</t>
        </r>
        <r>
          <rPr>
            <sz val="9"/>
            <color indexed="81"/>
            <rFont val="Tahoma"/>
            <family val="2"/>
          </rPr>
          <t xml:space="preserve">
10K PG 82</t>
        </r>
      </text>
    </comment>
    <comment ref="D31" authorId="0" shapeId="0" xr:uid="{A42C82A5-BA54-4C3E-9702-30304A840451}">
      <text>
        <r>
          <rPr>
            <b/>
            <sz val="9"/>
            <color indexed="81"/>
            <rFont val="Tahoma"/>
            <family val="2"/>
          </rPr>
          <t>rev4279:</t>
        </r>
        <r>
          <rPr>
            <sz val="9"/>
            <color indexed="81"/>
            <rFont val="Tahoma"/>
            <family val="2"/>
          </rPr>
          <t xml:space="preserve">
10K PG 51</t>
        </r>
      </text>
    </comment>
    <comment ref="G31" authorId="0" shapeId="0" xr:uid="{E5448AFD-924B-4C10-897B-3DFEF46B2105}">
      <text>
        <r>
          <rPr>
            <b/>
            <sz val="9"/>
            <color indexed="81"/>
            <rFont val="Tahoma"/>
            <family val="2"/>
          </rPr>
          <t>rev4279:</t>
        </r>
        <r>
          <rPr>
            <sz val="9"/>
            <color indexed="81"/>
            <rFont val="Tahoma"/>
            <family val="2"/>
          </rPr>
          <t xml:space="preserve">
10K PG 48</t>
        </r>
      </text>
    </comment>
    <comment ref="D32" authorId="0" shapeId="0" xr:uid="{6510AB0E-22DE-46DC-BBCE-F0FBACA2305B}">
      <text>
        <r>
          <rPr>
            <b/>
            <sz val="9"/>
            <color indexed="81"/>
            <rFont val="Tahoma"/>
            <family val="2"/>
          </rPr>
          <t>rev4279:</t>
        </r>
        <r>
          <rPr>
            <sz val="9"/>
            <color indexed="81"/>
            <rFont val="Tahoma"/>
            <family val="2"/>
          </rPr>
          <t xml:space="preserve">
10K PG 56 NOTE 6</t>
        </r>
      </text>
    </comment>
    <comment ref="G32" authorId="0" shapeId="0" xr:uid="{F84CE1D9-82DC-4698-BF1C-92D8B5902E34}">
      <text>
        <r>
          <rPr>
            <b/>
            <sz val="9"/>
            <color indexed="81"/>
            <rFont val="Tahoma"/>
            <family val="2"/>
          </rPr>
          <t>rev4279:</t>
        </r>
        <r>
          <rPr>
            <sz val="9"/>
            <color indexed="81"/>
            <rFont val="Tahoma"/>
            <family val="2"/>
          </rPr>
          <t xml:space="preserve">
10K PG 43</t>
        </r>
      </text>
    </comment>
    <comment ref="D33" authorId="0" shapeId="0" xr:uid="{8CE3E82D-EBF9-4F46-97B1-AE30612D4A73}">
      <text>
        <r>
          <rPr>
            <b/>
            <sz val="9"/>
            <color indexed="81"/>
            <rFont val="Tahoma"/>
            <family val="2"/>
          </rPr>
          <t>rev4279:</t>
        </r>
        <r>
          <rPr>
            <sz val="9"/>
            <color indexed="81"/>
            <rFont val="Tahoma"/>
            <family val="2"/>
          </rPr>
          <t xml:space="preserve">
10K PG 76</t>
        </r>
      </text>
    </comment>
    <comment ref="G33" authorId="0" shapeId="0" xr:uid="{02BB5D51-043A-47FF-ABD0-73DAEE75D1F7}">
      <text>
        <r>
          <rPr>
            <b/>
            <sz val="9"/>
            <color indexed="81"/>
            <rFont val="Tahoma"/>
            <family val="2"/>
          </rPr>
          <t>rev4279:</t>
        </r>
        <r>
          <rPr>
            <sz val="9"/>
            <color indexed="81"/>
            <rFont val="Tahoma"/>
            <family val="2"/>
          </rPr>
          <t xml:space="preserve">
10K PG 73</t>
        </r>
      </text>
    </comment>
    <comment ref="D34" authorId="0" shapeId="0" xr:uid="{69C4B1CD-784B-48FC-B6A0-916553F788A9}">
      <text>
        <r>
          <rPr>
            <b/>
            <sz val="9"/>
            <color indexed="81"/>
            <rFont val="Tahoma"/>
            <family val="2"/>
          </rPr>
          <t>rev4279:</t>
        </r>
        <r>
          <rPr>
            <sz val="9"/>
            <color indexed="81"/>
            <rFont val="Tahoma"/>
            <family val="2"/>
          </rPr>
          <t xml:space="preserve">
10K PG II-78</t>
        </r>
      </text>
    </comment>
    <comment ref="G34" authorId="0" shapeId="0" xr:uid="{51BC49CB-47E7-46D5-A49F-400B32DAF9F7}">
      <text>
        <r>
          <rPr>
            <b/>
            <sz val="9"/>
            <color indexed="81"/>
            <rFont val="Tahoma"/>
            <family val="2"/>
          </rPr>
          <t>rev4279:</t>
        </r>
        <r>
          <rPr>
            <sz val="9"/>
            <color indexed="81"/>
            <rFont val="Tahoma"/>
            <family val="2"/>
          </rPr>
          <t xml:space="preserve">
10K PG II-75</t>
        </r>
      </text>
    </comment>
    <comment ref="D35" authorId="0" shapeId="0" xr:uid="{C9D91E2E-B22D-489F-9676-4E38470752A8}">
      <text>
        <r>
          <rPr>
            <b/>
            <sz val="9"/>
            <color indexed="81"/>
            <rFont val="Tahoma"/>
            <family val="2"/>
          </rPr>
          <t>rev4279:</t>
        </r>
        <r>
          <rPr>
            <sz val="9"/>
            <color indexed="81"/>
            <rFont val="Tahoma"/>
            <family val="2"/>
          </rPr>
          <t xml:space="preserve">
10K PG 89</t>
        </r>
      </text>
    </comment>
    <comment ref="G35" authorId="0" shapeId="0" xr:uid="{D1DFBAB4-079B-48AC-844B-F5BA67805A55}">
      <text>
        <r>
          <rPr>
            <b/>
            <sz val="9"/>
            <color indexed="81"/>
            <rFont val="Tahoma"/>
            <family val="2"/>
          </rPr>
          <t>rev4279:</t>
        </r>
        <r>
          <rPr>
            <sz val="9"/>
            <color indexed="81"/>
            <rFont val="Tahoma"/>
            <family val="2"/>
          </rPr>
          <t xml:space="preserve">
10K PG 87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rev4279</author>
  </authors>
  <commentList>
    <comment ref="C19" authorId="0" shapeId="0" xr:uid="{3ECCC1D7-CABC-44E8-981D-B318C50F498E}">
      <text>
        <r>
          <rPr>
            <b/>
            <sz val="9"/>
            <color indexed="81"/>
            <rFont val="Tahoma"/>
            <family val="2"/>
          </rPr>
          <t>rev4279:</t>
        </r>
        <r>
          <rPr>
            <sz val="9"/>
            <color indexed="81"/>
            <rFont val="Tahoma"/>
            <family val="2"/>
          </rPr>
          <t xml:space="preserve">
10K PG 73</t>
        </r>
      </text>
    </comment>
    <comment ref="C20" authorId="0" shapeId="0" xr:uid="{214088C5-564E-4714-9644-51BD272AB972}">
      <text>
        <r>
          <rPr>
            <b/>
            <sz val="9"/>
            <color indexed="81"/>
            <rFont val="Tahoma"/>
            <family val="2"/>
          </rPr>
          <t>rev4279:</t>
        </r>
        <r>
          <rPr>
            <sz val="9"/>
            <color indexed="81"/>
            <rFont val="Tahoma"/>
            <family val="2"/>
          </rPr>
          <t xml:space="preserve">
10K PG 47</t>
        </r>
      </text>
    </comment>
    <comment ref="C21" authorId="0" shapeId="0" xr:uid="{CD84BBF6-1E5B-49C9-B775-EC53C2685EE6}">
      <text>
        <r>
          <rPr>
            <b/>
            <sz val="9"/>
            <color indexed="81"/>
            <rFont val="Tahoma"/>
            <family val="2"/>
          </rPr>
          <t>rev4279:</t>
        </r>
        <r>
          <rPr>
            <sz val="9"/>
            <color indexed="81"/>
            <rFont val="Tahoma"/>
            <family val="2"/>
          </rPr>
          <t xml:space="preserve">
10K PG 88</t>
        </r>
      </text>
    </comment>
    <comment ref="C22" authorId="0" shapeId="0" xr:uid="{B6F77751-C8CB-4E8D-AA82-37698EAC92C0}">
      <text>
        <r>
          <rPr>
            <b/>
            <sz val="9"/>
            <color indexed="81"/>
            <rFont val="Tahoma"/>
            <family val="2"/>
          </rPr>
          <t>rev4279:</t>
        </r>
        <r>
          <rPr>
            <sz val="9"/>
            <color indexed="81"/>
            <rFont val="Tahoma"/>
            <family val="2"/>
          </rPr>
          <t xml:space="preserve">
10K PG 90</t>
        </r>
      </text>
    </comment>
    <comment ref="C23" authorId="0" shapeId="0" xr:uid="{62B41A3C-0BA2-4B39-AF33-C7C08B8F4E69}">
      <text>
        <r>
          <rPr>
            <b/>
            <sz val="9"/>
            <color indexed="81"/>
            <rFont val="Tahoma"/>
            <family val="2"/>
          </rPr>
          <t>rev4279:</t>
        </r>
        <r>
          <rPr>
            <sz val="9"/>
            <color indexed="81"/>
            <rFont val="Tahoma"/>
            <family val="2"/>
          </rPr>
          <t xml:space="preserve">
10K PG 86</t>
        </r>
      </text>
    </comment>
    <comment ref="C24" authorId="0" shapeId="0" xr:uid="{39FDE071-770A-4D94-9560-6B2CEA07B0BE}">
      <text>
        <r>
          <rPr>
            <b/>
            <sz val="9"/>
            <color indexed="81"/>
            <rFont val="Tahoma"/>
            <family val="2"/>
          </rPr>
          <t>rev4279:</t>
        </r>
        <r>
          <rPr>
            <sz val="9"/>
            <color indexed="81"/>
            <rFont val="Tahoma"/>
            <family val="2"/>
          </rPr>
          <t xml:space="preserve">
10K PG 92</t>
        </r>
      </text>
    </comment>
    <comment ref="C25" authorId="0" shapeId="0" xr:uid="{F2719A19-E89B-40F2-A46D-A47B2832B426}">
      <text>
        <r>
          <rPr>
            <b/>
            <sz val="9"/>
            <color indexed="81"/>
            <rFont val="Tahoma"/>
            <family val="2"/>
          </rPr>
          <t>rev4279:</t>
        </r>
        <r>
          <rPr>
            <sz val="9"/>
            <color indexed="81"/>
            <rFont val="Tahoma"/>
            <family val="2"/>
          </rPr>
          <t xml:space="preserve">
10K PG 57</t>
        </r>
      </text>
    </comment>
    <comment ref="C26" authorId="0" shapeId="0" xr:uid="{1B6912AB-50B9-4667-BC44-5816A802DC24}">
      <text>
        <r>
          <rPr>
            <b/>
            <sz val="9"/>
            <color indexed="81"/>
            <rFont val="Tahoma"/>
            <family val="2"/>
          </rPr>
          <t>rev4279:</t>
        </r>
        <r>
          <rPr>
            <sz val="9"/>
            <color indexed="81"/>
            <rFont val="Tahoma"/>
            <family val="2"/>
          </rPr>
          <t xml:space="preserve">
10K PG 77</t>
        </r>
      </text>
    </comment>
    <comment ref="C27" authorId="0" shapeId="0" xr:uid="{8930555F-346D-408A-96A4-03DCDCBF472E}">
      <text>
        <r>
          <rPr>
            <b/>
            <sz val="9"/>
            <color indexed="81"/>
            <rFont val="Tahoma"/>
            <family val="2"/>
          </rPr>
          <t>rev4279:</t>
        </r>
        <r>
          <rPr>
            <sz val="9"/>
            <color indexed="81"/>
            <rFont val="Tahoma"/>
            <family val="2"/>
          </rPr>
          <t xml:space="preserve">
10K PG 39</t>
        </r>
      </text>
    </comment>
    <comment ref="C28" authorId="0" shapeId="0" xr:uid="{EC60F6E9-3864-4432-A18F-EE006991F9F0}">
      <text>
        <r>
          <rPr>
            <b/>
            <sz val="9"/>
            <color indexed="81"/>
            <rFont val="Tahoma"/>
            <family val="2"/>
          </rPr>
          <t>rev4279:</t>
        </r>
        <r>
          <rPr>
            <sz val="9"/>
            <color indexed="81"/>
            <rFont val="Tahoma"/>
            <family val="2"/>
          </rPr>
          <t xml:space="preserve">
10K PG 75</t>
        </r>
      </text>
    </comment>
    <comment ref="C29" authorId="0" shapeId="0" xr:uid="{7CAAFAE7-2491-4B81-B9AF-F97DD29CADE3}">
      <text>
        <r>
          <rPr>
            <b/>
            <sz val="9"/>
            <color indexed="81"/>
            <rFont val="Tahoma"/>
            <family val="2"/>
          </rPr>
          <t>rev4279:</t>
        </r>
        <r>
          <rPr>
            <sz val="9"/>
            <color indexed="81"/>
            <rFont val="Tahoma"/>
            <family val="2"/>
          </rPr>
          <t xml:space="preserve">
10K PG 80</t>
        </r>
      </text>
    </comment>
    <comment ref="C30" authorId="0" shapeId="0" xr:uid="{459BF82E-FE16-41B0-A923-407BFFC532E2}">
      <text>
        <r>
          <rPr>
            <b/>
            <sz val="9"/>
            <color indexed="81"/>
            <rFont val="Tahoma"/>
            <family val="2"/>
          </rPr>
          <t>rev4279:</t>
        </r>
        <r>
          <rPr>
            <sz val="9"/>
            <color indexed="81"/>
            <rFont val="Tahoma"/>
            <family val="2"/>
          </rPr>
          <t xml:space="preserve">
10K PG 48</t>
        </r>
      </text>
    </comment>
    <comment ref="C31" authorId="0" shapeId="0" xr:uid="{6293DA4D-83A8-48C7-9B0E-787379FBBEDE}">
      <text>
        <r>
          <rPr>
            <b/>
            <sz val="9"/>
            <color indexed="81"/>
            <rFont val="Tahoma"/>
            <family val="2"/>
          </rPr>
          <t>rev4279:</t>
        </r>
        <r>
          <rPr>
            <sz val="9"/>
            <color indexed="81"/>
            <rFont val="Tahoma"/>
            <family val="2"/>
          </rPr>
          <t xml:space="preserve">
10K PG 43</t>
        </r>
      </text>
    </comment>
    <comment ref="C32" authorId="0" shapeId="0" xr:uid="{960D30C7-27A8-435B-9D84-B584EEECCB3F}">
      <text>
        <r>
          <rPr>
            <b/>
            <sz val="9"/>
            <color indexed="81"/>
            <rFont val="Tahoma"/>
            <family val="2"/>
          </rPr>
          <t>rev4279:</t>
        </r>
        <r>
          <rPr>
            <sz val="9"/>
            <color indexed="81"/>
            <rFont val="Tahoma"/>
            <family val="2"/>
          </rPr>
          <t xml:space="preserve">
10K PG 73</t>
        </r>
      </text>
    </comment>
    <comment ref="C33" authorId="0" shapeId="0" xr:uid="{51FBD9AF-FFCF-4060-BEC4-12153E05D1F2}">
      <text>
        <r>
          <rPr>
            <b/>
            <sz val="9"/>
            <color indexed="81"/>
            <rFont val="Tahoma"/>
            <family val="2"/>
          </rPr>
          <t>rev4279:</t>
        </r>
        <r>
          <rPr>
            <sz val="9"/>
            <color indexed="81"/>
            <rFont val="Tahoma"/>
            <family val="2"/>
          </rPr>
          <t xml:space="preserve">
10K PG II-75</t>
        </r>
      </text>
    </comment>
    <comment ref="C34" authorId="0" shapeId="0" xr:uid="{E2B9EBBB-68C3-4584-8C47-6B4A9F814769}">
      <text>
        <r>
          <rPr>
            <b/>
            <sz val="9"/>
            <color indexed="81"/>
            <rFont val="Tahoma"/>
            <family val="2"/>
          </rPr>
          <t>rev4279:</t>
        </r>
        <r>
          <rPr>
            <sz val="9"/>
            <color indexed="81"/>
            <rFont val="Tahoma"/>
            <family val="2"/>
          </rPr>
          <t xml:space="preserve">
10K PG 87</t>
        </r>
      </text>
    </comment>
  </commentList>
</comments>
</file>

<file path=xl/sharedStrings.xml><?xml version="1.0" encoding="utf-8"?>
<sst xmlns="http://schemas.openxmlformats.org/spreadsheetml/2006/main" count="1656" uniqueCount="528">
  <si>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</si>
  <si>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</si>
  <si>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</si>
  <si>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</si>
  <si>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</si>
  <si>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</si>
  <si>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</si>
  <si>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</si>
  <si>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</si>
  <si>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</si>
  <si>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</si>
  <si>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</si>
  <si>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</si>
  <si>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</si>
  <si>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</si>
  <si>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</si>
  <si>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</si>
  <si>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</si>
  <si>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</si>
  <si>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</si>
  <si>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</si>
  <si>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</si>
  <si>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</si>
  <si>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</si>
  <si>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</si>
  <si>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</si>
  <si>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</si>
  <si>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</si>
  <si>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</si>
  <si>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</si>
  <si>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</si>
  <si>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</si>
  <si>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</si>
  <si>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</si>
  <si>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</si>
  <si>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</si>
  <si>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</si>
  <si>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</si>
  <si>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</si>
  <si>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</si>
  <si>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</si>
  <si>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</si>
  <si>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</si>
  <si>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</si>
  <si>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Alliant Energy</t>
  </si>
  <si>
    <t>AMEREN</t>
  </si>
  <si>
    <t>American Electric Power</t>
  </si>
  <si>
    <t>Centerpoint Energy</t>
  </si>
  <si>
    <t>CMS Energy</t>
  </si>
  <si>
    <t>DTE Energy</t>
  </si>
  <si>
    <t>OGE Energy Corp.</t>
  </si>
  <si>
    <t>Otter Tail Corp</t>
  </si>
  <si>
    <t>WEC Energy Group</t>
  </si>
  <si>
    <t>ALE</t>
  </si>
  <si>
    <t>LNT</t>
  </si>
  <si>
    <t>CMS</t>
  </si>
  <si>
    <t>DTE</t>
  </si>
  <si>
    <t>OGE</t>
  </si>
  <si>
    <t>AEE</t>
  </si>
  <si>
    <t>AEP</t>
  </si>
  <si>
    <t>CNP</t>
  </si>
  <si>
    <t>OTTR</t>
  </si>
  <si>
    <t>WEC</t>
  </si>
  <si>
    <t>A+</t>
  </si>
  <si>
    <t xml:space="preserve">  </t>
  </si>
  <si>
    <t>High</t>
  </si>
  <si>
    <t>Low</t>
  </si>
  <si>
    <t>DUK</t>
  </si>
  <si>
    <t>Entergy Corp</t>
  </si>
  <si>
    <t>ETR</t>
  </si>
  <si>
    <t>PPL Corp</t>
  </si>
  <si>
    <t>PPL</t>
  </si>
  <si>
    <t>Southern Company</t>
  </si>
  <si>
    <t>SO</t>
  </si>
  <si>
    <t>Duke Energy</t>
  </si>
  <si>
    <t>PPL Corporation</t>
  </si>
  <si>
    <t>Mergent Bond</t>
  </si>
  <si>
    <t>Rating</t>
  </si>
  <si>
    <t>FirstEnergy Corp</t>
  </si>
  <si>
    <t>FE</t>
  </si>
  <si>
    <t>Debt Rate</t>
  </si>
  <si>
    <t>S&amp;P</t>
  </si>
  <si>
    <t>S &amp; P</t>
  </si>
  <si>
    <t>% LT Debt &amp; Pref Stock</t>
  </si>
  <si>
    <t>Baa1</t>
  </si>
  <si>
    <t>Baa2</t>
  </si>
  <si>
    <t>BBB+</t>
  </si>
  <si>
    <t>BBB</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</si>
  <si>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</si>
  <si>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</si>
  <si>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</si>
  <si>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</si>
  <si>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</si>
  <si>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</si>
  <si>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BBB-</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</si>
  <si>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</si>
  <si>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</si>
  <si>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</si>
  <si>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</si>
  <si>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</si>
  <si>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</si>
  <si>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</si>
  <si>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</si>
  <si>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</si>
  <si>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</si>
  <si>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</si>
  <si>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</si>
  <si>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</si>
  <si>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</si>
  <si>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</si>
  <si>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</si>
  <si>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</si>
  <si>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</si>
  <si>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</si>
  <si>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</si>
  <si>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</si>
  <si>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</si>
  <si>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</si>
  <si>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</si>
  <si>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</si>
  <si>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</si>
  <si>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</si>
  <si>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</si>
  <si>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</si>
  <si>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</si>
  <si>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</si>
  <si>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</si>
  <si>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</si>
  <si>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</si>
  <si>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</si>
  <si>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</si>
  <si>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</si>
  <si>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</si>
  <si>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</si>
  <si>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</si>
  <si>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</si>
  <si>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</si>
  <si>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</si>
  <si>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</si>
  <si>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</si>
  <si>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</si>
  <si>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</si>
  <si>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</si>
  <si>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</si>
  <si>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</si>
  <si>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</si>
  <si>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</si>
  <si>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</si>
  <si>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</si>
  <si>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</si>
  <si>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</si>
  <si>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</si>
  <si>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</si>
  <si>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</si>
  <si>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</si>
  <si>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</si>
  <si>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</si>
  <si>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</si>
  <si>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</si>
  <si>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</si>
  <si>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</si>
  <si>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</si>
  <si>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</si>
  <si>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</si>
  <si>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</si>
  <si>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</si>
  <si>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</si>
  <si>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</si>
  <si>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</si>
  <si>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</si>
  <si>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</si>
  <si>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</si>
  <si>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</si>
  <si>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</si>
  <si>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</si>
  <si>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</si>
  <si>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</si>
  <si>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</si>
  <si>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</si>
  <si>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</si>
  <si>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</si>
  <si>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</si>
  <si>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</si>
  <si>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</si>
  <si>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</si>
  <si>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</si>
  <si>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</si>
  <si>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</si>
  <si>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</si>
  <si>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</si>
  <si>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</si>
  <si>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</si>
  <si>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</si>
  <si>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</si>
  <si>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</si>
  <si>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</si>
  <si>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</si>
  <si>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</si>
  <si>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</si>
  <si>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</si>
  <si>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</si>
  <si>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</si>
  <si>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</si>
  <si>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</si>
  <si>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</si>
  <si>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</si>
  <si>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</si>
  <si>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AA-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</si>
  <si>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</si>
  <si>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</si>
  <si>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</si>
  <si>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</si>
  <si>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</si>
  <si>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</si>
  <si>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</si>
  <si>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</si>
  <si>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</si>
  <si>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</si>
  <si>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</si>
  <si>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</si>
  <si>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</si>
  <si>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</si>
  <si>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</si>
  <si>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</si>
  <si>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</si>
  <si>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</si>
  <si>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</si>
  <si>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</si>
  <si>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</si>
  <si>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</si>
  <si>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</si>
  <si>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</si>
  <si>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</si>
  <si>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</si>
  <si>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</si>
  <si>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</si>
  <si>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</si>
  <si>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</si>
  <si>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</si>
  <si>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</si>
  <si>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</si>
  <si>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</si>
  <si>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</si>
  <si>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</si>
  <si>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</si>
  <si>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</si>
  <si>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</si>
  <si>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</si>
  <si>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</si>
  <si>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</si>
  <si>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</si>
  <si>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</si>
  <si>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</si>
  <si>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</si>
  <si>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</si>
  <si>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</si>
  <si>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</si>
  <si>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</si>
  <si>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</si>
  <si>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</si>
  <si>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</si>
  <si>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</si>
  <si>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</si>
  <si>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</si>
  <si>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</si>
  <si>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</si>
  <si>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</si>
  <si>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</si>
  <si>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</si>
  <si>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</si>
  <si>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</si>
  <si>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</si>
  <si>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</si>
  <si>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</si>
  <si>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</si>
  <si>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</si>
  <si>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</si>
  <si>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</si>
  <si>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</si>
  <si>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</si>
  <si>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&amp; Finance Leases</t>
  </si>
  <si>
    <t>10K Income Statement</t>
  </si>
  <si>
    <t>10K Balance Sheet</t>
  </si>
  <si>
    <t>Indicated Rate of Equity Selected &gt;</t>
  </si>
  <si>
    <t>NOTE:</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</si>
  <si>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</si>
  <si>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</si>
  <si>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</si>
  <si>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</si>
  <si>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</si>
  <si>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</si>
  <si>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</si>
  <si>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</si>
  <si>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</si>
  <si>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 xml:space="preserve">Federal Reserve Bank of Philadelphia - The Livingston Survey - Inflation Mean (measured by the CPI over next 10 years) Table 3   (2) </t>
  </si>
  <si>
    <t xml:space="preserve">Federal Reserve Bank of Philadelphia - The Livingston Survey - Inflation Median (measured by the CPI over next 10 years) Page 8  (2)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</si>
  <si>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</si>
  <si>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</si>
  <si>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</si>
  <si>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</si>
  <si>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</si>
  <si>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</si>
  <si>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</si>
  <si>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</si>
  <si>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</si>
  <si>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Trimmed Average</t>
  </si>
  <si>
    <t>*Cornell, B. &amp; Gerger, R. (2017) Estimating Terminal Values with Inflation : The Inputs Matter - It is Not a Formulaic Exercise.  Business Valuation Review, Vol.36, Number 4, 117-123.</t>
  </si>
  <si>
    <t>C1  C2  C3</t>
  </si>
  <si>
    <t>MEDIAN GROWTH RATES</t>
  </si>
  <si>
    <t>SOURCE &gt;</t>
  </si>
  <si>
    <t>SOURCES &gt;</t>
  </si>
  <si>
    <t>ALLETE Inc</t>
  </si>
  <si>
    <t>Evergy Inc</t>
  </si>
  <si>
    <t>EVRG</t>
  </si>
  <si>
    <t>ALLETE</t>
  </si>
  <si>
    <t>1 Yr Projected</t>
  </si>
  <si>
    <t>3-5 Yr Projected</t>
  </si>
  <si>
    <t>Short Term</t>
  </si>
  <si>
    <t>(1)</t>
  </si>
  <si>
    <t>(1)    4 Year compound annual growth rate (CAGR)  - 3 periods</t>
  </si>
  <si>
    <t>Earnings Data</t>
  </si>
  <si>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</si>
  <si>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</si>
  <si>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</si>
  <si>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</si>
  <si>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</si>
  <si>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</si>
  <si>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</si>
  <si>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</si>
  <si>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</si>
  <si>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</si>
  <si>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</si>
  <si>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</si>
  <si>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</si>
  <si>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</si>
  <si>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</si>
  <si>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</si>
  <si>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</si>
  <si>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</si>
  <si>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</si>
  <si>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</si>
  <si>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</si>
  <si>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</si>
  <si>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</si>
  <si>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</si>
  <si>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</si>
  <si>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</si>
  <si>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</si>
  <si>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</si>
  <si>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</si>
  <si>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</si>
  <si>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</si>
  <si>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</si>
  <si>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</si>
  <si>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</si>
  <si>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</si>
  <si>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 Market value of operating leases for all companies including the airlines and railroads</t>
  </si>
  <si>
    <t>Companies excluded from the study &gt;</t>
  </si>
  <si>
    <t>Companies added to the study &gt;</t>
  </si>
  <si>
    <r>
      <t>K</t>
    </r>
    <r>
      <rPr>
        <b/>
        <sz val="10"/>
        <color theme="1"/>
        <rFont val="Microsoft GothicNeo"/>
        <family val="2"/>
        <charset val="129"/>
      </rPr>
      <t>E</t>
    </r>
    <r>
      <rPr>
        <b/>
        <sz val="16"/>
        <color theme="1"/>
        <rFont val="Microsoft GothicNeo"/>
        <family val="2"/>
        <charset val="129"/>
      </rPr>
      <t xml:space="preserve"> = (DY  X  (1+ .5(G)))  + .67(G1)  +  .33(g)</t>
    </r>
  </si>
  <si>
    <t>DY = Dividend Yield     See ValueLine</t>
  </si>
  <si>
    <t>G   = Average growth rate</t>
  </si>
  <si>
    <t>G1 = Short term growth estimate</t>
  </si>
  <si>
    <t>g   = Stable Growth - Nominal growth rate</t>
  </si>
  <si>
    <t>AAA</t>
  </si>
  <si>
    <t>AA+</t>
  </si>
  <si>
    <t>AA</t>
  </si>
  <si>
    <t>Obligations rated Aa are judged to be of high quality, with minimal risk.</t>
  </si>
  <si>
    <t>BB+</t>
  </si>
  <si>
    <t>BB</t>
  </si>
  <si>
    <t>BB-</t>
  </si>
  <si>
    <t>B-</t>
  </si>
  <si>
    <t>CCC+</t>
  </si>
  <si>
    <t>CCC</t>
  </si>
  <si>
    <t>CCC-</t>
  </si>
  <si>
    <t>CC</t>
  </si>
  <si>
    <t>Scale</t>
  </si>
  <si>
    <t>Retained to</t>
  </si>
  <si>
    <t>Shareholders Equity</t>
  </si>
  <si>
    <t>Return on Shareholders Equity -- Annual net profit divided by year-end shareholders equity, expressed as a percentage.</t>
  </si>
  <si>
    <t>Retained to Common Equity -- Net profit less all common and preferred dividends divided by common equity including intangible assets, expressed as a percentage.  Also known as the plowback ratio.</t>
  </si>
  <si>
    <t>Aaa1</t>
  </si>
  <si>
    <t>AAA+</t>
  </si>
  <si>
    <t>Aaa2</t>
  </si>
  <si>
    <t>Aaa3</t>
  </si>
  <si>
    <t>AAA-</t>
  </si>
  <si>
    <t>Ca1</t>
  </si>
  <si>
    <t>CC+</t>
  </si>
  <si>
    <t>Ca2</t>
  </si>
  <si>
    <t>Ca3</t>
  </si>
  <si>
    <t>CC-</t>
  </si>
  <si>
    <t>GROSS REVENUE &amp; GROSS BOOK (EQUITY) MULTIPLES</t>
  </si>
  <si>
    <t>Gross Revenues</t>
  </si>
  <si>
    <t>Gross Book Value Equity</t>
  </si>
  <si>
    <t>Multiple *</t>
  </si>
  <si>
    <t>* This multiple is applicable to service type companies, or those with few assets.  These companies sell at prices related to their revenues.</t>
  </si>
  <si>
    <t>The higher the return on revenue the higher the price to revenue will be.</t>
  </si>
  <si>
    <t>** The book value, or common equity, per share is total owners' equity minus preferred stock divided by the number of common shares outstanding.</t>
  </si>
  <si>
    <t>The purpose of this ratio is to test whether the market price is worth more (or less) than the cost of the assets.</t>
  </si>
  <si>
    <t>If the result is greater than one(1), it indicates the market value exceeds book value and can often be used as a sign of competent management.</t>
  </si>
  <si>
    <t>Share</t>
  </si>
  <si>
    <t>NOPAT Earnings</t>
  </si>
  <si>
    <t>P/E Ratio - Long Term Projection NOPAT</t>
  </si>
  <si>
    <t>&amp; Op Leases</t>
  </si>
  <si>
    <t>CS+LTD +PS +OL</t>
  </si>
  <si>
    <t xml:space="preserve">For rate based companies, the maximum allowed  'rate of return' established by state regulators is not comparable (a mismatch) to the 'cost of equity' calculated above.   </t>
  </si>
  <si>
    <t>Dividend Growth = DY + DG</t>
  </si>
  <si>
    <t>Earnings Growth = DY + EG</t>
  </si>
  <si>
    <t>DY = Dividend Yield</t>
  </si>
  <si>
    <t>DG = Dividend Growth</t>
  </si>
  <si>
    <t>EG = Earnings Growth</t>
  </si>
  <si>
    <t>G = Projected Growth (Div. 5 Yr Growth Rate)</t>
  </si>
  <si>
    <t>G = Projected Growth (Earnings Per Share 5 Yr Growth Rate)</t>
  </si>
  <si>
    <t>Evergy Inc (EVRG) - provides electric service to customers in Kansas and Missouri via coal and nuclear power</t>
  </si>
  <si>
    <t>Companies for consideration as future adds to the study &gt;</t>
  </si>
  <si>
    <t>Black Hills (BKH) - a western company, provides gas service to 1.1 million customers in NE, IA, KS, CO, WY, &amp; AR.  Also provides electric service to 218K customers in CO, SD, WY, and MT.</t>
  </si>
  <si>
    <t>MGE Energy (MGEE) - Removed due to a lack of a ValueLine review sheet</t>
  </si>
  <si>
    <t>Per Share **</t>
  </si>
  <si>
    <t>AMEREN Corporation</t>
  </si>
  <si>
    <t>Common Total Equity excludes 'noncontrolling interests' equity value.</t>
  </si>
  <si>
    <t xml:space="preserve">Property, Plant &amp; Equipment includes CWIP, but should exclude intangibles and the associated amortization.  </t>
  </si>
  <si>
    <t xml:space="preserve">Guideline companies were selected from Electric (East &amp; Central) Value Line Industry groups. </t>
  </si>
  <si>
    <t xml:space="preserve">http://www.federalreserve.gov/Releases/H15/Current/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</si>
  <si>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</si>
  <si>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</si>
  <si>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</si>
  <si>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</si>
  <si>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</si>
  <si>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Projected 1 Yr</t>
  </si>
  <si>
    <t>Estimated 20-22 to 26-28</t>
  </si>
  <si>
    <t>Earnings Per Share Growth Rate</t>
  </si>
  <si>
    <t>Electric Utility - East</t>
  </si>
  <si>
    <t>Electric Utility - Cent</t>
  </si>
  <si>
    <t xml:space="preserve">Risk Free Rate (Rf) </t>
  </si>
  <si>
    <t xml:space="preserve">Yield Equity Rate - DGM (Dividend Growth) &amp; DGM (Earnings Growth)  -- Gordon Growth </t>
  </si>
  <si>
    <t>Three Stage Ex Ante  Version 1  (1) (2)</t>
  </si>
  <si>
    <t>Three Stage Ex Ante  Version 2   (1) (2)</t>
  </si>
  <si>
    <t>CAPM - Ex Ante, Three Stage - V1</t>
  </si>
  <si>
    <t>CAPM - Ex Ante, Three Stage - V2</t>
  </si>
  <si>
    <t>Empirical CAPM - Ex Ante, Three Stage - V1</t>
  </si>
  <si>
    <t>Empirical CAPM - Ex Ante, Three Stage - V2</t>
  </si>
  <si>
    <t>Mean</t>
  </si>
  <si>
    <t>A market to book ratio over one would be an indication of no obsolescence.</t>
  </si>
  <si>
    <t xml:space="preserve">S&amp;P Rating </t>
  </si>
  <si>
    <t>Electric Utilities</t>
  </si>
  <si>
    <r>
      <t xml:space="preserve">KY DOR                    Earnings Growth Rate                             </t>
    </r>
    <r>
      <rPr>
        <b/>
        <sz val="9"/>
        <color theme="1"/>
        <rFont val="Microsoft GothicNeo"/>
        <family val="2"/>
        <charset val="129"/>
      </rPr>
      <t>(Median / Average)</t>
    </r>
  </si>
  <si>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</si>
  <si>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</si>
  <si>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</si>
  <si>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</si>
  <si>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</si>
  <si>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</si>
  <si>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Harmonic Mean</t>
  </si>
  <si>
    <t>CAPM - Ex Ante  Damodaran Net Cash Yield</t>
  </si>
  <si>
    <t>CAPM - Ex Ante  Damodaran NEP</t>
  </si>
  <si>
    <t>CAPM - Ex Ante  Damodaran 12 Mo Cash Yield</t>
  </si>
  <si>
    <t>Empirical CAPM - Ex Ante  Damodaran 12 Mo Cash Yield</t>
  </si>
  <si>
    <t>Empirical CAPM - Ex Ante  Damodaran Net Cash Yield</t>
  </si>
  <si>
    <t>Empirical CAPM - Ex Ante  Damodaran NEP</t>
  </si>
  <si>
    <t>Damodaran Implied ERP Ex Ante   Net Cash Yield (3)</t>
  </si>
  <si>
    <t>Damodaran Implied ERP Ex Ante   Norm. Earnings &amp; Payout (3)</t>
  </si>
  <si>
    <t>Damodaran Implied ERP Ex Ante   Trailing 12 mo Cash Yield (3)</t>
  </si>
  <si>
    <t>KROLL Ex Post  - ERP Historical (8)</t>
  </si>
  <si>
    <t>KROLL Ex Post - ERP Supply Side (8)</t>
  </si>
  <si>
    <t>KROLL Ex Ante - ERP Conditional (8)</t>
  </si>
  <si>
    <t xml:space="preserve">CAPM - KROLL Ex Post  - ERP Historical </t>
  </si>
  <si>
    <t xml:space="preserve">CAPM - KROLL Ex Post - ERP Supply Side </t>
  </si>
  <si>
    <t xml:space="preserve">CAPM - KROLL Ex Ante - ERP Conditional </t>
  </si>
  <si>
    <t xml:space="preserve">Empirical CAPM - KROLL Ex Post  - ERP Historical </t>
  </si>
  <si>
    <t xml:space="preserve">Empirical CAPM - KROLL Ex Post - ERP Supply Side </t>
  </si>
  <si>
    <t xml:space="preserve">Empirical CAPM - KROLL Ex Ante - ERP Conditional </t>
  </si>
  <si>
    <t>Damodaran Implied ERP Ex Ante   Avg CF Yield Last 10 Yrs (3)</t>
  </si>
  <si>
    <t>P. Fernandez, T. Garcia de Santos &amp; J.F.Acin  (5)</t>
  </si>
  <si>
    <t>Empirical CAPM - Ex Ante  Damodaran Avg CF Yield Last 10 Yrs</t>
  </si>
  <si>
    <t>CAPM - Ex Ante  Damodaran Avg CF Yield Last 10 Yrs</t>
  </si>
  <si>
    <t>The Southern Company</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</si>
  <si>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</si>
  <si>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</si>
  <si>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</si>
  <si>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Congressional Budget Office  Average % change Yr to Yr  2023-2033  (4)</t>
  </si>
  <si>
    <t>Federal Reserve Bank of Philadelphia  /Survey of Professional Forecasters  Mean (3)</t>
  </si>
  <si>
    <t xml:space="preserve">Congressional Budget Office Real Economic Projections (4)  </t>
  </si>
  <si>
    <t>https://www.cbo.gov/system/files/2021-02/56970-Outlook.p</t>
  </si>
  <si>
    <t>2024 Tax Year</t>
  </si>
  <si>
    <t>YEAR END 12/31/2023</t>
  </si>
  <si>
    <t>2024 CAPITALIZATION RATE STUDY</t>
  </si>
  <si>
    <t>Dec. 31, 2023</t>
  </si>
  <si>
    <t>Vl Projected 2024</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</si>
  <si>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</si>
  <si>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</si>
  <si>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</si>
  <si>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</si>
  <si>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</si>
  <si>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</si>
  <si>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</si>
  <si>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t>The Congressional Budget Office projects the U.S. GDP annual growth rates</t>
  </si>
  <si>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</si>
  <si>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https://www.cbo.gov/publication/59933</t>
  </si>
  <si>
    <t>5 Yr  Jan 2 2024</t>
  </si>
  <si>
    <t>3.93 - 1.76 = 2.17</t>
  </si>
  <si>
    <t>10 Yr  Jan 2 2024</t>
  </si>
  <si>
    <t>3.95 - 1.74 = 2.21</t>
  </si>
  <si>
    <t>20 Yr  Jan 2 2024</t>
  </si>
  <si>
    <t>4.25 - 1.84 = 2.41</t>
  </si>
  <si>
    <t>30 Yr  Jan 2 2024</t>
  </si>
  <si>
    <t>4.08 - 1.91 = 2.17</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</si>
  <si>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</si>
  <si>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</si>
  <si>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</si>
  <si>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</si>
  <si>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</si>
  <si>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</si>
  <si>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</si>
  <si>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</si>
  <si>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</si>
  <si>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</si>
  <si>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</si>
  <si>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</si>
  <si>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</si>
  <si>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</si>
  <si>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</si>
  <si>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 xml:space="preserve">YEAR END </t>
  </si>
  <si>
    <t>Daily Tresury Par Real Yield Curve Rates  Jan 2 (1)</t>
  </si>
  <si>
    <t>NA</t>
  </si>
  <si>
    <t>NOPAT CASH FLOW MULTIPLE &amp; EQUITY RATE (LT 27-29 Yr Projected VL)</t>
  </si>
  <si>
    <t>Estimated 21-23 to 27-29</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</si>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</sst>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0.000"/>
    <numFmt numFmtId="168" formatCode="_(* #,##0.000_);_(* \(#,##0.000\);_(* &quot;-&quot;??_);_(@_)"/>
    <numFmt numFmtId="169" formatCode="0.000%"/>
    <numFmt numFmtId="170" formatCode="_(&quot;$&quot;* #,##0.0_);_(&quot;$&quot;* \(#,##0.0\);_(&quot;$&quot;* &quot;-&quot;??_);_(@_)"/>
    <numFmt numFmtId="171" formatCode="0.0000%"/>
  </numFmts>
  <fonts count="71">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b/>
      <sz val="9"/>
      <color indexed="81"/>
      <name val="Tahoma"/>
      <family val="2"/>
    </font>
    <font>
      <i/>
      <sz val="11"/>
      <color theme="1"/>
      <name val="Calibri"/>
      <family val="2"/>
      <scheme val="minor"/>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1"/>
      <color theme="9" tint="-0.249977111117893"/>
      <name val="Microsoft GothicNeo"/>
      <family val="2"/>
      <charset val="129"/>
    </font>
    <font>
      <b/>
      <sz val="16"/>
      <name val="Microsoft GothicNeo"/>
      <family val="2"/>
      <charset val="129"/>
    </font>
    <font>
      <b/>
      <sz val="16"/>
      <color rgb="FFFF0000"/>
      <name val="Microsoft GothicNeo"/>
      <family val="2"/>
      <charset val="129"/>
    </font>
    <font>
      <i/>
      <sz val="11"/>
      <color theme="1"/>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sz val="18"/>
      <color rgb="FF0000CC"/>
      <name val="Microsoft GothicNeo"/>
      <family val="2"/>
      <charset val="129"/>
    </font>
    <font>
      <sz val="12"/>
      <color rgb="FF000000"/>
      <name val="Microsoft GothicNeo"/>
      <family val="2"/>
      <charset val="129"/>
    </font>
    <font>
      <b/>
      <i/>
      <sz val="14"/>
      <color theme="1"/>
      <name val="Calibri"/>
      <family val="2"/>
      <scheme val="minor"/>
    </font>
    <font>
      <sz val="11"/>
      <name val="Calibri"/>
      <family val="2"/>
      <scheme val="minor"/>
    </font>
    <font>
      <b/>
      <sz val="9"/>
      <name val="Microsoft GothicNeo"/>
      <family val="2"/>
      <charset val="129"/>
    </font>
    <font>
      <b/>
      <sz val="18"/>
      <name val="Microsoft GothicNeo"/>
      <family val="2"/>
      <charset val="129"/>
    </font>
    <font>
      <sz val="11"/>
      <color rgb="FF0000CC"/>
      <name val="Microsoft GothicNeo"/>
      <family val="2"/>
      <charset val="129"/>
    </font>
    <font>
      <sz val="11"/>
      <name val="Microsoft GothicNeo Light"/>
      <family val="2"/>
      <charset val="129"/>
    </font>
  </fonts>
  <fills count="5">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42">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9" fillId="0" borderId="0"/>
    <xf numFmtId="0" fontId="19" fillId="0" borderId="0"/>
    <xf numFmtId="0" fontId="20" fillId="0" borderId="0" applyNumberFormat="0" applyFill="0" applyBorder="0" applyAlignment="0" applyProtection="0"/>
  </cellStyleXfs>
  <cellXfs count="455">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3" fontId="2" fillId="0" borderId="0" xfId="0" applyNumberFormat="1" applyFont="1"/>
    <xf numFmtId="0" fontId="18" fillId="0" borderId="0" xfId="0" applyFont="1"/>
    <xf numFmtId="167" fontId="15" fillId="2" borderId="0" xfId="0" applyNumberFormat="1" applyFont="1" applyFill="1" applyAlignment="1">
      <alignment horizontal="center"/>
    </xf>
    <xf numFmtId="0" fontId="21" fillId="0" borderId="0" xfId="0" applyFont="1"/>
    <xf numFmtId="0" fontId="21" fillId="0" borderId="0" xfId="0" applyFont="1" applyAlignment="1">
      <alignment horizontal="center"/>
    </xf>
    <xf numFmtId="0" fontId="23" fillId="0" borderId="0" xfId="0" applyFont="1" applyAlignment="1">
      <alignment horizontal="right"/>
    </xf>
    <xf numFmtId="43" fontId="24" fillId="0" borderId="0" xfId="1" applyFont="1" applyAlignment="1">
      <alignment horizontal="right" vertical="center"/>
    </xf>
    <xf numFmtId="43" fontId="24" fillId="0" borderId="0" xfId="1" applyFont="1" applyFill="1" applyAlignment="1">
      <alignment horizontal="right" vertical="center"/>
    </xf>
    <xf numFmtId="43" fontId="23" fillId="0" borderId="0" xfId="1" applyFont="1" applyFill="1" applyAlignment="1">
      <alignment horizontal="right"/>
    </xf>
    <xf numFmtId="43" fontId="23" fillId="0" borderId="0" xfId="1" applyFont="1" applyFill="1" applyAlignment="1">
      <alignment horizontal="center"/>
    </xf>
    <xf numFmtId="43" fontId="23" fillId="0" borderId="0" xfId="1" applyFont="1" applyFill="1" applyAlignment="1">
      <alignment horizontal="center" vertical="center"/>
    </xf>
    <xf numFmtId="43" fontId="23" fillId="0" borderId="0" xfId="1" applyFont="1" applyFill="1" applyBorder="1" applyAlignment="1">
      <alignment horizontal="center" vertical="center"/>
    </xf>
    <xf numFmtId="43" fontId="23" fillId="0" borderId="0" xfId="1" applyFont="1" applyFill="1"/>
    <xf numFmtId="164" fontId="23" fillId="0" borderId="0" xfId="1" applyNumberFormat="1" applyFont="1" applyFill="1"/>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0" fontId="30" fillId="0" borderId="16" xfId="0" applyFont="1" applyBorder="1"/>
    <xf numFmtId="0" fontId="21" fillId="0" borderId="2" xfId="0" applyFont="1" applyBorder="1"/>
    <xf numFmtId="0" fontId="29" fillId="0" borderId="2" xfId="0" applyFont="1" applyBorder="1"/>
    <xf numFmtId="0" fontId="30" fillId="0" borderId="0" xfId="0" applyFont="1"/>
    <xf numFmtId="0" fontId="26" fillId="0" borderId="0" xfId="0" applyFont="1" applyAlignment="1">
      <alignment horizontal="center"/>
    </xf>
    <xf numFmtId="0" fontId="31" fillId="0" borderId="2" xfId="0" applyFont="1" applyBorder="1" applyAlignment="1">
      <alignment horizontal="center"/>
    </xf>
    <xf numFmtId="0" fontId="32" fillId="0" borderId="2" xfId="0" applyFont="1" applyBorder="1" applyAlignment="1">
      <alignment horizontal="center"/>
    </xf>
    <xf numFmtId="0" fontId="23" fillId="0" borderId="0" xfId="0" applyFont="1" applyAlignment="1">
      <alignment horizontal="center"/>
    </xf>
    <xf numFmtId="0" fontId="31" fillId="0" borderId="0" xfId="0" applyFont="1" applyAlignment="1">
      <alignment horizontal="center"/>
    </xf>
    <xf numFmtId="0" fontId="23" fillId="0" borderId="2" xfId="0" applyFont="1" applyBorder="1" applyAlignment="1">
      <alignment horizontal="center"/>
    </xf>
    <xf numFmtId="0" fontId="33" fillId="0" borderId="2" xfId="0" applyFont="1" applyBorder="1" applyAlignment="1">
      <alignment horizontal="center"/>
    </xf>
    <xf numFmtId="0" fontId="32" fillId="0" borderId="1" xfId="0" applyFont="1" applyBorder="1" applyAlignment="1">
      <alignment horizontal="center"/>
    </xf>
    <xf numFmtId="0" fontId="34" fillId="0" borderId="1" xfId="0" applyFont="1" applyBorder="1" applyAlignment="1">
      <alignment horizontal="center"/>
    </xf>
    <xf numFmtId="0" fontId="32" fillId="0" borderId="0" xfId="0" applyFont="1" applyAlignment="1">
      <alignment horizontal="center"/>
    </xf>
    <xf numFmtId="0" fontId="35" fillId="0" borderId="2" xfId="0" applyFont="1" applyBorder="1" applyAlignment="1">
      <alignment horizontal="center"/>
    </xf>
    <xf numFmtId="0" fontId="37" fillId="0" borderId="1" xfId="0" applyFont="1" applyBorder="1" applyAlignment="1">
      <alignment horizontal="center"/>
    </xf>
    <xf numFmtId="0" fontId="23" fillId="0" borderId="0" xfId="0" applyFont="1"/>
    <xf numFmtId="166" fontId="24" fillId="0" borderId="0" xfId="1" applyNumberFormat="1" applyFont="1" applyFill="1" applyAlignment="1">
      <alignment horizontal="center"/>
    </xf>
    <xf numFmtId="166" fontId="24" fillId="0" borderId="0" xfId="1" applyNumberFormat="1" applyFont="1" applyFill="1"/>
    <xf numFmtId="0" fontId="23" fillId="0" borderId="4" xfId="0" applyFont="1" applyBorder="1"/>
    <xf numFmtId="0" fontId="24" fillId="0" borderId="0" xfId="0" applyFont="1" applyAlignment="1">
      <alignment horizontal="center" vertical="center"/>
    </xf>
    <xf numFmtId="166" fontId="23" fillId="0" borderId="0" xfId="1" applyNumberFormat="1" applyFont="1" applyFill="1" applyAlignment="1">
      <alignment horizontal="center"/>
    </xf>
    <xf numFmtId="0" fontId="26" fillId="0" borderId="0" xfId="0" applyFont="1" applyAlignment="1">
      <alignment horizontal="right"/>
    </xf>
    <xf numFmtId="10" fontId="23" fillId="0" borderId="0" xfId="2" applyNumberFormat="1" applyFont="1" applyFill="1" applyAlignment="1">
      <alignment horizontal="center" vertical="center"/>
    </xf>
    <xf numFmtId="10" fontId="23" fillId="0" borderId="0" xfId="2" applyNumberFormat="1" applyFont="1" applyFill="1" applyBorder="1" applyAlignment="1">
      <alignment horizontal="center" vertical="center"/>
    </xf>
    <xf numFmtId="10" fontId="24" fillId="0" borderId="0" xfId="2" applyNumberFormat="1" applyFont="1" applyAlignment="1">
      <alignment horizontal="right" vertical="center"/>
    </xf>
    <xf numFmtId="10" fontId="24" fillId="0" borderId="0" xfId="2" applyNumberFormat="1" applyFont="1" applyFill="1" applyAlignment="1">
      <alignment horizontal="center" vertical="center"/>
    </xf>
    <xf numFmtId="10" fontId="24" fillId="0" borderId="0" xfId="2" applyNumberFormat="1" applyFont="1" applyFill="1" applyAlignment="1">
      <alignment horizontal="right"/>
    </xf>
    <xf numFmtId="10" fontId="23" fillId="0" borderId="0" xfId="2" applyNumberFormat="1" applyFont="1" applyFill="1" applyAlignment="1">
      <alignment horizontal="right"/>
    </xf>
    <xf numFmtId="10" fontId="23" fillId="0" borderId="0" xfId="2" applyNumberFormat="1" applyFont="1" applyFill="1" applyAlignment="1">
      <alignment horizontal="center"/>
    </xf>
    <xf numFmtId="10" fontId="23" fillId="0" borderId="0" xfId="2" applyNumberFormat="1" applyFont="1" applyFill="1"/>
    <xf numFmtId="0" fontId="21" fillId="3" borderId="20" xfId="0" applyFont="1" applyFill="1" applyBorder="1" applyAlignment="1">
      <alignment horizontal="center"/>
    </xf>
    <xf numFmtId="0" fontId="21" fillId="3" borderId="22" xfId="0" applyFont="1" applyFill="1" applyBorder="1" applyAlignment="1">
      <alignment horizontal="center"/>
    </xf>
    <xf numFmtId="2" fontId="40" fillId="0" borderId="0" xfId="0" applyNumberFormat="1" applyFont="1" applyAlignment="1">
      <alignment horizontal="center"/>
    </xf>
    <xf numFmtId="164" fontId="40" fillId="0" borderId="0" xfId="1" applyNumberFormat="1" applyFont="1" applyAlignment="1"/>
    <xf numFmtId="2" fontId="24" fillId="0" borderId="0" xfId="0" applyNumberFormat="1" applyFont="1" applyAlignment="1">
      <alignment horizontal="center"/>
    </xf>
    <xf numFmtId="0" fontId="36" fillId="0" borderId="0" xfId="0" applyFont="1"/>
    <xf numFmtId="43" fontId="26" fillId="0" borderId="0" xfId="1" applyFont="1" applyFill="1"/>
    <xf numFmtId="2" fontId="40" fillId="0" borderId="4" xfId="0" applyNumberFormat="1" applyFont="1" applyBorder="1" applyAlignment="1">
      <alignment horizontal="center"/>
    </xf>
    <xf numFmtId="10" fontId="24" fillId="0" borderId="0" xfId="2" applyNumberFormat="1" applyFont="1" applyFill="1" applyAlignment="1">
      <alignment horizontal="center"/>
    </xf>
    <xf numFmtId="0" fontId="21" fillId="0" borderId="2" xfId="0" applyFont="1" applyBorder="1" applyAlignment="1">
      <alignment horizontal="center"/>
    </xf>
    <xf numFmtId="0" fontId="33" fillId="0" borderId="17" xfId="0" applyFont="1" applyBorder="1" applyAlignment="1">
      <alignment horizontal="center"/>
    </xf>
    <xf numFmtId="0" fontId="26" fillId="0" borderId="0" xfId="0" applyFont="1" applyAlignment="1">
      <alignment horizontal="center" vertical="center"/>
    </xf>
    <xf numFmtId="2" fontId="23" fillId="0" borderId="0" xfId="0" applyNumberFormat="1" applyFont="1" applyAlignment="1">
      <alignment horizontal="center"/>
    </xf>
    <xf numFmtId="0" fontId="21" fillId="0" borderId="4" xfId="0" applyFont="1" applyBorder="1"/>
    <xf numFmtId="2" fontId="23" fillId="0" borderId="0" xfId="0" applyNumberFormat="1" applyFont="1" applyAlignment="1">
      <alignment horizontal="right"/>
    </xf>
    <xf numFmtId="10" fontId="23" fillId="0" borderId="0" xfId="0" applyNumberFormat="1" applyFont="1"/>
    <xf numFmtId="0" fontId="41" fillId="0" borderId="0" xfId="0" applyFont="1" applyAlignment="1">
      <alignment horizontal="center"/>
    </xf>
    <xf numFmtId="0" fontId="42" fillId="0" borderId="0" xfId="0" applyFont="1"/>
    <xf numFmtId="0" fontId="43" fillId="0" borderId="17" xfId="0" applyFont="1" applyBorder="1" applyAlignment="1">
      <alignment horizontal="center"/>
    </xf>
    <xf numFmtId="0" fontId="38" fillId="0" borderId="0" xfId="0" applyFont="1" applyAlignment="1">
      <alignment horizontal="right"/>
    </xf>
    <xf numFmtId="0" fontId="30" fillId="0" borderId="0" xfId="0" applyFont="1" applyAlignment="1">
      <alignment horizontal="center"/>
    </xf>
    <xf numFmtId="0" fontId="23" fillId="0" borderId="24" xfId="0" applyFont="1" applyBorder="1" applyAlignment="1">
      <alignment horizontal="center"/>
    </xf>
    <xf numFmtId="0" fontId="23" fillId="0" borderId="10" xfId="0" applyFont="1" applyBorder="1" applyAlignment="1">
      <alignment horizontal="center"/>
    </xf>
    <xf numFmtId="0" fontId="23" fillId="0" borderId="3" xfId="0" applyFont="1" applyBorder="1" applyAlignment="1">
      <alignment horizontal="center"/>
    </xf>
    <xf numFmtId="0" fontId="44" fillId="0" borderId="0" xfId="0" applyFont="1"/>
    <xf numFmtId="10" fontId="23" fillId="0" borderId="0" xfId="2" applyNumberFormat="1" applyFont="1"/>
    <xf numFmtId="10" fontId="23" fillId="0" borderId="0" xfId="1" applyNumberFormat="1" applyFont="1" applyFill="1"/>
    <xf numFmtId="10" fontId="46" fillId="0" borderId="0" xfId="2" applyNumberFormat="1" applyFont="1" applyFill="1" applyAlignment="1">
      <alignment horizontal="center"/>
    </xf>
    <xf numFmtId="164" fontId="23" fillId="0" borderId="0" xfId="1" applyNumberFormat="1" applyFont="1"/>
    <xf numFmtId="0" fontId="21" fillId="0" borderId="0" xfId="0" applyFont="1" applyAlignment="1">
      <alignment horizontal="left"/>
    </xf>
    <xf numFmtId="0" fontId="23" fillId="0" borderId="2" xfId="0" applyFont="1" applyBorder="1"/>
    <xf numFmtId="0" fontId="36" fillId="0" borderId="7" xfId="0" applyFont="1" applyBorder="1" applyAlignment="1">
      <alignment horizontal="center"/>
    </xf>
    <xf numFmtId="0" fontId="36" fillId="0" borderId="10" xfId="0" applyFont="1" applyBorder="1" applyAlignment="1">
      <alignment horizontal="center"/>
    </xf>
    <xf numFmtId="0" fontId="36" fillId="0" borderId="0" xfId="0" applyFont="1" applyAlignment="1">
      <alignment horizontal="center"/>
    </xf>
    <xf numFmtId="15" fontId="36" fillId="0" borderId="10" xfId="0" applyNumberFormat="1" applyFont="1" applyBorder="1" applyAlignment="1">
      <alignment horizontal="center"/>
    </xf>
    <xf numFmtId="15" fontId="36" fillId="0" borderId="0" xfId="0" applyNumberFormat="1" applyFont="1" applyAlignment="1">
      <alignment horizontal="center"/>
    </xf>
    <xf numFmtId="15" fontId="36" fillId="0" borderId="0" xfId="0" quotePrefix="1" applyNumberFormat="1" applyFont="1" applyAlignment="1">
      <alignment horizontal="center"/>
    </xf>
    <xf numFmtId="0" fontId="40" fillId="0" borderId="10" xfId="0" applyFont="1" applyBorder="1" applyAlignment="1">
      <alignment horizontal="center"/>
    </xf>
    <xf numFmtId="0" fontId="36" fillId="0" borderId="8" xfId="0" applyFont="1" applyBorder="1" applyAlignment="1">
      <alignment horizontal="center"/>
    </xf>
    <xf numFmtId="0" fontId="36" fillId="0" borderId="3" xfId="0" applyFont="1" applyBorder="1" applyAlignment="1">
      <alignment horizontal="center"/>
    </xf>
    <xf numFmtId="0" fontId="36" fillId="0" borderId="2" xfId="0" applyFont="1" applyBorder="1" applyAlignment="1">
      <alignment horizontal="center"/>
    </xf>
    <xf numFmtId="0" fontId="37" fillId="0" borderId="3" xfId="0" applyFont="1" applyBorder="1" applyAlignment="1">
      <alignment horizontal="center"/>
    </xf>
    <xf numFmtId="0" fontId="37" fillId="0" borderId="2" xfId="0" applyFont="1" applyBorder="1" applyAlignment="1">
      <alignment horizontal="center"/>
    </xf>
    <xf numFmtId="0" fontId="37" fillId="0" borderId="9" xfId="0" applyFont="1" applyBorder="1" applyAlignment="1">
      <alignment horizontal="center"/>
    </xf>
    <xf numFmtId="0" fontId="37" fillId="0" borderId="11" xfId="0" applyFont="1" applyBorder="1" applyAlignment="1">
      <alignment horizontal="center"/>
    </xf>
    <xf numFmtId="0" fontId="36" fillId="0" borderId="10" xfId="0" applyFont="1" applyBorder="1"/>
    <xf numFmtId="0" fontId="36" fillId="0" borderId="7" xfId="0" applyFont="1" applyBorder="1"/>
    <xf numFmtId="0" fontId="40" fillId="0" borderId="0" xfId="0" applyFont="1" applyAlignment="1">
      <alignment horizontal="center"/>
    </xf>
    <xf numFmtId="2" fontId="40" fillId="0" borderId="10" xfId="0" applyNumberFormat="1" applyFont="1" applyBorder="1" applyAlignment="1">
      <alignment horizontal="center"/>
    </xf>
    <xf numFmtId="0" fontId="40" fillId="0" borderId="7" xfId="0" applyFont="1" applyBorder="1"/>
    <xf numFmtId="0" fontId="36" fillId="0" borderId="8" xfId="0" applyFont="1" applyBorder="1"/>
    <xf numFmtId="2" fontId="40" fillId="0" borderId="3" xfId="0" applyNumberFormat="1" applyFont="1" applyBorder="1" applyAlignment="1">
      <alignment horizontal="center"/>
    </xf>
    <xf numFmtId="3" fontId="40" fillId="0" borderId="2" xfId="0" applyNumberFormat="1" applyFont="1" applyBorder="1"/>
    <xf numFmtId="0" fontId="39" fillId="0" borderId="0" xfId="0" applyFont="1"/>
    <xf numFmtId="0" fontId="48" fillId="0" borderId="2" xfId="0" applyFont="1" applyBorder="1"/>
    <xf numFmtId="0" fontId="39" fillId="0" borderId="2" xfId="0" applyFont="1" applyBorder="1"/>
    <xf numFmtId="0" fontId="39" fillId="0" borderId="5" xfId="0" applyFont="1" applyBorder="1"/>
    <xf numFmtId="0" fontId="39" fillId="0" borderId="6" xfId="0" applyFont="1" applyBorder="1"/>
    <xf numFmtId="0" fontId="21" fillId="0" borderId="6" xfId="0" applyFont="1" applyBorder="1"/>
    <xf numFmtId="0" fontId="36" fillId="0" borderId="14" xfId="0" applyFont="1" applyBorder="1" applyAlignment="1">
      <alignment horizontal="center"/>
    </xf>
    <xf numFmtId="0" fontId="37" fillId="0" borderId="15" xfId="0" applyFont="1" applyBorder="1" applyAlignment="1">
      <alignment horizontal="center"/>
    </xf>
    <xf numFmtId="0" fontId="36" fillId="0" borderId="0" xfId="0" applyFont="1" applyAlignment="1">
      <alignment horizontal="right"/>
    </xf>
    <xf numFmtId="164" fontId="23" fillId="0" borderId="0" xfId="0" applyNumberFormat="1" applyFont="1"/>
    <xf numFmtId="10" fontId="36" fillId="0" borderId="0" xfId="0" applyNumberFormat="1" applyFont="1" applyAlignment="1">
      <alignment horizontal="right"/>
    </xf>
    <xf numFmtId="10" fontId="36" fillId="0" borderId="0" xfId="2" applyNumberFormat="1" applyFont="1" applyFill="1"/>
    <xf numFmtId="10" fontId="36" fillId="0" borderId="0" xfId="2" applyNumberFormat="1" applyFont="1"/>
    <xf numFmtId="2" fontId="21" fillId="0" borderId="0" xfId="0" applyNumberFormat="1" applyFont="1"/>
    <xf numFmtId="0" fontId="23" fillId="0" borderId="1" xfId="0" applyFont="1" applyBorder="1" applyAlignment="1">
      <alignment horizontal="center"/>
    </xf>
    <xf numFmtId="0" fontId="30" fillId="0" borderId="0" xfId="0" applyFont="1" applyAlignment="1">
      <alignment horizontal="right"/>
    </xf>
    <xf numFmtId="0" fontId="24" fillId="0" borderId="0" xfId="0" applyFont="1"/>
    <xf numFmtId="0" fontId="22" fillId="0" borderId="0" xfId="0" applyFont="1"/>
    <xf numFmtId="0" fontId="22" fillId="0" borderId="0" xfId="0" applyFont="1" applyAlignment="1">
      <alignment horizontal="left"/>
    </xf>
    <xf numFmtId="0" fontId="51" fillId="0" borderId="0" xfId="6" applyFont="1" applyFill="1" applyAlignment="1" applyProtection="1">
      <alignment horizontal="left" vertical="top"/>
    </xf>
    <xf numFmtId="0" fontId="22" fillId="0" borderId="0" xfId="0" applyFont="1" applyAlignment="1">
      <alignment horizontal="left" vertical="top"/>
    </xf>
    <xf numFmtId="0" fontId="22" fillId="0" borderId="0" xfId="0" applyFont="1" applyAlignment="1">
      <alignment vertical="top"/>
    </xf>
    <xf numFmtId="0" fontId="52" fillId="0" borderId="0" xfId="0" applyFont="1" applyAlignment="1">
      <alignment horizontal="left" vertical="top"/>
    </xf>
    <xf numFmtId="0" fontId="52" fillId="0" borderId="0" xfId="0" applyFont="1"/>
    <xf numFmtId="165" fontId="23" fillId="0" borderId="0" xfId="3" applyNumberFormat="1" applyFont="1" applyFill="1" applyAlignment="1">
      <alignment horizontal="center"/>
    </xf>
    <xf numFmtId="164" fontId="24" fillId="0" borderId="0" xfId="1" applyNumberFormat="1" applyFont="1" applyFill="1"/>
    <xf numFmtId="10" fontId="24" fillId="0" borderId="0" xfId="2" applyNumberFormat="1" applyFont="1" applyFill="1"/>
    <xf numFmtId="0" fontId="30" fillId="0" borderId="2" xfId="0" applyFont="1" applyBorder="1" applyAlignment="1">
      <alignment horizontal="center"/>
    </xf>
    <xf numFmtId="10" fontId="40" fillId="0" borderId="0" xfId="2" applyNumberFormat="1" applyFont="1" applyFill="1" applyAlignment="1">
      <alignment horizontal="center"/>
    </xf>
    <xf numFmtId="10" fontId="40" fillId="0" borderId="0" xfId="2" applyNumberFormat="1" applyFont="1" applyFill="1"/>
    <xf numFmtId="2" fontId="53" fillId="0" borderId="0" xfId="0" applyNumberFormat="1" applyFont="1" applyAlignment="1">
      <alignment horizontal="center"/>
    </xf>
    <xf numFmtId="2" fontId="36" fillId="0" borderId="2" xfId="0" applyNumberFormat="1" applyFont="1" applyBorder="1" applyAlignment="1">
      <alignment horizontal="center"/>
    </xf>
    <xf numFmtId="10" fontId="36" fillId="0" borderId="2" xfId="2" applyNumberFormat="1" applyFont="1" applyBorder="1"/>
    <xf numFmtId="10" fontId="36" fillId="0" borderId="0" xfId="0" applyNumberFormat="1" applyFont="1" applyAlignment="1">
      <alignment horizontal="center"/>
    </xf>
    <xf numFmtId="2" fontId="36" fillId="0" borderId="0" xfId="0" applyNumberFormat="1" applyFont="1" applyAlignment="1">
      <alignment horizontal="center"/>
    </xf>
    <xf numFmtId="0" fontId="40" fillId="0" borderId="0" xfId="0" applyFont="1"/>
    <xf numFmtId="0" fontId="36" fillId="0" borderId="0" xfId="0" applyFont="1" applyAlignment="1">
      <alignment horizontal="left"/>
    </xf>
    <xf numFmtId="10" fontId="24" fillId="0" borderId="4" xfId="2" applyNumberFormat="1" applyFont="1" applyFill="1" applyBorder="1" applyAlignment="1">
      <alignment horizontal="center"/>
    </xf>
    <xf numFmtId="10" fontId="21" fillId="0" borderId="0" xfId="0" applyNumberFormat="1" applyFont="1"/>
    <xf numFmtId="0" fontId="20" fillId="0" borderId="0" xfId="6"/>
    <xf numFmtId="0" fontId="23" fillId="0" borderId="0" xfId="0" applyFont="1" applyAlignment="1">
      <alignment horizontal="left"/>
    </xf>
    <xf numFmtId="0" fontId="54" fillId="0" borderId="2" xfId="0" applyFont="1" applyBorder="1"/>
    <xf numFmtId="0" fontId="0" fillId="0" borderId="2" xfId="0" applyBorder="1"/>
    <xf numFmtId="0" fontId="30" fillId="0" borderId="2" xfId="0" applyFont="1" applyBorder="1"/>
    <xf numFmtId="0" fontId="21" fillId="0" borderId="5" xfId="0" applyFont="1" applyBorder="1"/>
    <xf numFmtId="0" fontId="21" fillId="0" borderId="12" xfId="0" applyFont="1" applyBorder="1"/>
    <xf numFmtId="0" fontId="23" fillId="0" borderId="8" xfId="0" applyFont="1" applyBorder="1" applyAlignment="1">
      <alignment horizontal="center" vertical="center"/>
    </xf>
    <xf numFmtId="0" fontId="30" fillId="0" borderId="34" xfId="0" applyFont="1" applyBorder="1" applyAlignment="1">
      <alignment horizontal="center" vertical="center" wrapText="1"/>
    </xf>
    <xf numFmtId="0" fontId="30" fillId="0" borderId="16" xfId="0" applyFont="1" applyBorder="1" applyAlignment="1">
      <alignment horizontal="center" vertical="center"/>
    </xf>
    <xf numFmtId="0" fontId="30" fillId="0" borderId="16" xfId="0" applyFont="1" applyBorder="1" applyAlignment="1">
      <alignment horizontal="center" vertical="center" wrapText="1"/>
    </xf>
    <xf numFmtId="0" fontId="30" fillId="0" borderId="32" xfId="0" applyFont="1" applyBorder="1" applyAlignment="1">
      <alignment horizontal="center" vertical="center"/>
    </xf>
    <xf numFmtId="0" fontId="36" fillId="0" borderId="16" xfId="0" applyFont="1" applyBorder="1" applyAlignment="1">
      <alignment horizontal="center" vertical="center"/>
    </xf>
    <xf numFmtId="0" fontId="55" fillId="0" borderId="0" xfId="0" applyFont="1"/>
    <xf numFmtId="0" fontId="30" fillId="0" borderId="7" xfId="0" applyFont="1" applyBorder="1" applyAlignment="1">
      <alignment horizontal="center" vertical="center"/>
    </xf>
    <xf numFmtId="10" fontId="30" fillId="0" borderId="2" xfId="2" applyNumberFormat="1" applyFont="1" applyBorder="1" applyAlignment="1">
      <alignment horizontal="center" vertical="center"/>
    </xf>
    <xf numFmtId="0" fontId="36" fillId="0" borderId="2" xfId="0" applyFont="1" applyBorder="1" applyAlignment="1">
      <alignment horizontal="center" vertical="center"/>
    </xf>
    <xf numFmtId="0" fontId="54" fillId="0" borderId="33" xfId="0" applyFont="1" applyBorder="1"/>
    <xf numFmtId="0" fontId="21" fillId="0" borderId="27" xfId="0" applyFont="1" applyBorder="1"/>
    <xf numFmtId="0" fontId="21" fillId="0" borderId="26" xfId="0" applyFont="1" applyBorder="1"/>
    <xf numFmtId="0" fontId="36" fillId="0" borderId="29" xfId="0" applyFont="1" applyBorder="1"/>
    <xf numFmtId="0" fontId="36" fillId="0" borderId="31" xfId="0" applyFont="1" applyBorder="1"/>
    <xf numFmtId="10" fontId="40" fillId="0" borderId="25" xfId="2" applyNumberFormat="1" applyFont="1" applyFill="1" applyBorder="1" applyAlignment="1">
      <alignment horizontal="center"/>
    </xf>
    <xf numFmtId="0" fontId="36" fillId="0" borderId="20" xfId="0" applyFont="1" applyBorder="1"/>
    <xf numFmtId="10" fontId="40" fillId="0" borderId="26" xfId="2" applyNumberFormat="1" applyFont="1" applyFill="1" applyBorder="1" applyAlignment="1">
      <alignment horizontal="center"/>
    </xf>
    <xf numFmtId="0" fontId="36" fillId="0" borderId="22" xfId="0" applyFont="1" applyBorder="1"/>
    <xf numFmtId="0" fontId="36" fillId="0" borderId="1" xfId="0" applyFont="1" applyBorder="1"/>
    <xf numFmtId="10" fontId="40" fillId="0" borderId="27" xfId="2" applyNumberFormat="1" applyFont="1" applyFill="1" applyBorder="1" applyAlignment="1">
      <alignment horizontal="center"/>
    </xf>
    <xf numFmtId="10" fontId="40" fillId="0" borderId="26" xfId="2" applyNumberFormat="1" applyFont="1" applyBorder="1" applyAlignment="1">
      <alignment horizontal="center" vertical="center"/>
    </xf>
    <xf numFmtId="10" fontId="36" fillId="0" borderId="25" xfId="2" applyNumberFormat="1" applyFont="1" applyFill="1" applyBorder="1" applyAlignment="1">
      <alignment horizontal="center"/>
    </xf>
    <xf numFmtId="10" fontId="36" fillId="0" borderId="27" xfId="2" applyNumberFormat="1" applyFont="1" applyFill="1" applyBorder="1" applyAlignment="1">
      <alignment horizontal="center"/>
    </xf>
    <xf numFmtId="10" fontId="40" fillId="0" borderId="0" xfId="2" applyNumberFormat="1" applyFont="1" applyAlignment="1">
      <alignment horizontal="right" vertical="center"/>
    </xf>
    <xf numFmtId="10" fontId="36" fillId="0" borderId="0" xfId="2" applyNumberFormat="1" applyFont="1" applyFill="1" applyAlignment="1">
      <alignment horizontal="right"/>
    </xf>
    <xf numFmtId="43" fontId="36" fillId="0" borderId="0" xfId="1" applyFont="1" applyFill="1" applyAlignment="1">
      <alignment horizontal="right"/>
    </xf>
    <xf numFmtId="43" fontId="36" fillId="0" borderId="0" xfId="1" applyFont="1" applyFill="1"/>
    <xf numFmtId="0" fontId="36" fillId="0" borderId="0" xfId="0" applyFont="1" applyAlignment="1">
      <alignment horizontal="center" vertical="center"/>
    </xf>
    <xf numFmtId="0" fontId="24" fillId="0" borderId="25" xfId="0" applyFont="1" applyBorder="1" applyAlignment="1">
      <alignment horizontal="center"/>
    </xf>
    <xf numFmtId="0" fontId="24" fillId="0" borderId="27" xfId="0" applyFont="1" applyBorder="1" applyAlignment="1">
      <alignment horizontal="center"/>
    </xf>
    <xf numFmtId="44" fontId="40" fillId="0" borderId="0" xfId="3" applyFont="1" applyAlignment="1">
      <alignment horizontal="center"/>
    </xf>
    <xf numFmtId="165" fontId="23" fillId="0" borderId="0" xfId="0" applyNumberFormat="1" applyFont="1" applyAlignment="1">
      <alignment horizontal="center"/>
    </xf>
    <xf numFmtId="0" fontId="31" fillId="0" borderId="0" xfId="0" applyFont="1"/>
    <xf numFmtId="0" fontId="35" fillId="0" borderId="0" xfId="0" applyFont="1"/>
    <xf numFmtId="0" fontId="23" fillId="0" borderId="0" xfId="0" applyFont="1" applyAlignment="1">
      <alignment horizontal="right" vertical="center"/>
    </xf>
    <xf numFmtId="0" fontId="47" fillId="0" borderId="0" xfId="0" applyFont="1"/>
    <xf numFmtId="0" fontId="0" fillId="0" borderId="34" xfId="0" applyBorder="1"/>
    <xf numFmtId="10" fontId="40" fillId="0" borderId="16" xfId="2" applyNumberFormat="1" applyFont="1" applyFill="1" applyBorder="1"/>
    <xf numFmtId="0" fontId="21" fillId="0" borderId="32" xfId="0" applyFont="1" applyBorder="1"/>
    <xf numFmtId="0" fontId="26" fillId="0" borderId="34" xfId="0" applyFont="1" applyBorder="1" applyAlignment="1">
      <alignment horizontal="right"/>
    </xf>
    <xf numFmtId="0" fontId="25" fillId="0" borderId="32" xfId="0" applyFont="1" applyBorder="1"/>
    <xf numFmtId="0" fontId="25" fillId="0" borderId="34" xfId="0" applyFont="1" applyBorder="1" applyAlignment="1">
      <alignment horizontal="right"/>
    </xf>
    <xf numFmtId="0" fontId="25" fillId="0" borderId="34" xfId="0" applyFont="1" applyBorder="1"/>
    <xf numFmtId="0" fontId="21" fillId="0" borderId="34" xfId="0" applyFont="1" applyBorder="1"/>
    <xf numFmtId="0" fontId="36" fillId="0" borderId="7" xfId="0" applyFont="1" applyBorder="1" applyAlignment="1">
      <alignment horizontal="center" vertical="center"/>
    </xf>
    <xf numFmtId="10" fontId="36" fillId="0" borderId="0" xfId="2" applyNumberFormat="1" applyFont="1" applyBorder="1" applyAlignment="1">
      <alignment horizontal="center" vertical="center"/>
    </xf>
    <xf numFmtId="10" fontId="36" fillId="0" borderId="13" xfId="2" applyNumberFormat="1" applyFont="1" applyBorder="1" applyAlignment="1">
      <alignment horizontal="center" vertical="center"/>
    </xf>
    <xf numFmtId="0" fontId="39" fillId="0" borderId="7" xfId="0" applyFont="1" applyBorder="1"/>
    <xf numFmtId="0" fontId="39" fillId="0" borderId="13" xfId="0" applyFont="1" applyBorder="1"/>
    <xf numFmtId="0" fontId="26" fillId="0" borderId="16" xfId="0" applyFont="1" applyBorder="1" applyAlignment="1">
      <alignment horizontal="center" vertical="center"/>
    </xf>
    <xf numFmtId="0" fontId="57" fillId="0" borderId="0" xfId="0" applyFont="1"/>
    <xf numFmtId="0" fontId="29" fillId="0" borderId="0" xfId="0" applyFont="1" applyAlignment="1">
      <alignment horizontal="center"/>
    </xf>
    <xf numFmtId="0" fontId="26" fillId="0" borderId="16" xfId="0" applyFont="1" applyBorder="1" applyAlignment="1">
      <alignment horizontal="right"/>
    </xf>
    <xf numFmtId="2" fontId="36" fillId="0" borderId="16" xfId="0" applyNumberFormat="1" applyFont="1" applyBorder="1" applyAlignment="1">
      <alignment horizontal="center"/>
    </xf>
    <xf numFmtId="43" fontId="36" fillId="0" borderId="0" xfId="1" applyFont="1" applyBorder="1" applyAlignment="1">
      <alignment horizontal="center" vertical="center"/>
    </xf>
    <xf numFmtId="43" fontId="36" fillId="0" borderId="0" xfId="1" applyFont="1" applyBorder="1" applyAlignment="1">
      <alignment vertical="center"/>
    </xf>
    <xf numFmtId="10" fontId="36" fillId="0" borderId="0" xfId="2" applyNumberFormat="1" applyFont="1" applyBorder="1" applyAlignment="1">
      <alignment vertical="center"/>
    </xf>
    <xf numFmtId="10" fontId="0" fillId="0" borderId="0" xfId="2" applyNumberFormat="1" applyFont="1"/>
    <xf numFmtId="10" fontId="36" fillId="0" borderId="0" xfId="2" applyNumberFormat="1" applyFont="1" applyFill="1" applyBorder="1" applyAlignment="1">
      <alignment horizontal="center" vertical="center"/>
    </xf>
    <xf numFmtId="0" fontId="36" fillId="0" borderId="30" xfId="0" applyFont="1" applyBorder="1"/>
    <xf numFmtId="0" fontId="36" fillId="0" borderId="21" xfId="0" applyFont="1" applyBorder="1"/>
    <xf numFmtId="0" fontId="36" fillId="0" borderId="23" xfId="0" applyFont="1" applyBorder="1"/>
    <xf numFmtId="10" fontId="40" fillId="3" borderId="26" xfId="2" applyNumberFormat="1" applyFont="1" applyFill="1" applyBorder="1" applyAlignment="1">
      <alignment horizontal="center"/>
    </xf>
    <xf numFmtId="0" fontId="21" fillId="0" borderId="24" xfId="0" applyFont="1" applyBorder="1"/>
    <xf numFmtId="10" fontId="30" fillId="0" borderId="3" xfId="2" applyNumberFormat="1" applyFont="1" applyBorder="1" applyAlignment="1">
      <alignment horizontal="center" vertical="center"/>
    </xf>
    <xf numFmtId="10" fontId="25" fillId="0" borderId="0" xfId="2" applyNumberFormat="1" applyFont="1" applyAlignment="1">
      <alignment horizontal="center"/>
    </xf>
    <xf numFmtId="0" fontId="58" fillId="0" borderId="0" xfId="0" applyFont="1"/>
    <xf numFmtId="0" fontId="33" fillId="0" borderId="0" xfId="0" applyFont="1"/>
    <xf numFmtId="164" fontId="23" fillId="0" borderId="0" xfId="1" applyNumberFormat="1" applyFont="1" applyFill="1" applyAlignment="1">
      <alignment horizontal="center"/>
    </xf>
    <xf numFmtId="164" fontId="23" fillId="0" borderId="0" xfId="1" applyNumberFormat="1" applyFont="1" applyFill="1" applyAlignment="1"/>
    <xf numFmtId="2" fontId="26" fillId="0" borderId="16" xfId="0" applyNumberFormat="1" applyFont="1" applyBorder="1" applyAlignment="1">
      <alignment horizontal="center" vertical="center"/>
    </xf>
    <xf numFmtId="10" fontId="26" fillId="0" borderId="16" xfId="2" applyNumberFormat="1" applyFont="1" applyBorder="1" applyAlignment="1">
      <alignment horizontal="center" vertical="center"/>
    </xf>
    <xf numFmtId="10" fontId="40" fillId="0" borderId="27" xfId="2" applyNumberFormat="1" applyFont="1" applyBorder="1" applyAlignment="1">
      <alignment horizontal="center" vertical="center"/>
    </xf>
    <xf numFmtId="0" fontId="23" fillId="0" borderId="0" xfId="0" applyFont="1" applyAlignment="1">
      <alignment horizontal="center" vertical="center"/>
    </xf>
    <xf numFmtId="10" fontId="30" fillId="0" borderId="0" xfId="2" applyNumberFormat="1" applyFont="1" applyBorder="1" applyAlignment="1">
      <alignment horizontal="center" vertical="center"/>
    </xf>
    <xf numFmtId="0" fontId="30" fillId="0" borderId="8" xfId="0" applyFont="1" applyBorder="1" applyAlignment="1">
      <alignment horizontal="right" vertical="center"/>
    </xf>
    <xf numFmtId="0" fontId="32" fillId="0" borderId="17" xfId="0" applyFont="1" applyBorder="1" applyAlignment="1">
      <alignment horizontal="center"/>
    </xf>
    <xf numFmtId="10" fontId="23" fillId="0" borderId="0" xfId="0" applyNumberFormat="1" applyFont="1" applyAlignment="1">
      <alignment horizontal="center"/>
    </xf>
    <xf numFmtId="0" fontId="23" fillId="0" borderId="2" xfId="0" quotePrefix="1" applyFont="1" applyBorder="1" applyAlignment="1">
      <alignment horizontal="center"/>
    </xf>
    <xf numFmtId="0" fontId="6" fillId="0" borderId="0" xfId="0" applyFont="1"/>
    <xf numFmtId="0" fontId="59" fillId="0" borderId="0" xfId="0" applyFont="1" applyAlignment="1">
      <alignment horizontal="center"/>
    </xf>
    <xf numFmtId="0" fontId="39" fillId="0" borderId="0" xfId="0" applyFont="1" applyAlignment="1">
      <alignment horizontal="left"/>
    </xf>
    <xf numFmtId="0" fontId="56" fillId="0" borderId="0" xfId="0" applyFont="1" applyAlignment="1">
      <alignment horizontal="left"/>
    </xf>
    <xf numFmtId="0" fontId="60" fillId="0" borderId="0" xfId="0" applyFont="1"/>
    <xf numFmtId="0" fontId="39" fillId="0" borderId="0" xfId="0" applyFont="1" applyAlignment="1">
      <alignment horizontal="right"/>
    </xf>
    <xf numFmtId="0" fontId="39" fillId="0" borderId="2" xfId="0" applyFont="1" applyBorder="1" applyAlignment="1">
      <alignment horizontal="center"/>
    </xf>
    <xf numFmtId="0" fontId="56" fillId="0" borderId="0" xfId="0" applyFont="1"/>
    <xf numFmtId="10" fontId="30" fillId="0" borderId="10" xfId="2" applyNumberFormat="1" applyFont="1" applyFill="1" applyBorder="1" applyAlignment="1">
      <alignment horizontal="center" vertical="center"/>
    </xf>
    <xf numFmtId="168" fontId="40" fillId="0" borderId="16" xfId="1" applyNumberFormat="1" applyFont="1" applyFill="1" applyBorder="1"/>
    <xf numFmtId="15" fontId="36" fillId="0" borderId="24" xfId="0" applyNumberFormat="1" applyFont="1" applyBorder="1" applyAlignment="1">
      <alignment horizontal="center"/>
    </xf>
    <xf numFmtId="15" fontId="36" fillId="0" borderId="12" xfId="0" applyNumberFormat="1" applyFont="1" applyBorder="1" applyAlignment="1">
      <alignment horizontal="center"/>
    </xf>
    <xf numFmtId="15" fontId="36" fillId="0" borderId="13" xfId="0" applyNumberFormat="1" applyFont="1" applyBorder="1" applyAlignment="1">
      <alignment horizontal="center"/>
    </xf>
    <xf numFmtId="0" fontId="36" fillId="0" borderId="13" xfId="0" applyFont="1" applyBorder="1" applyAlignment="1">
      <alignment horizontal="center"/>
    </xf>
    <xf numFmtId="0" fontId="55" fillId="0" borderId="0" xfId="0" applyFont="1" applyAlignment="1">
      <alignment horizontal="center" vertical="center"/>
    </xf>
    <xf numFmtId="0" fontId="55" fillId="0" borderId="1" xfId="0" applyFont="1" applyBorder="1" applyAlignment="1">
      <alignment horizontal="center" vertical="center"/>
    </xf>
    <xf numFmtId="0" fontId="0" fillId="0" borderId="1" xfId="0" applyBorder="1"/>
    <xf numFmtId="0" fontId="36" fillId="0" borderId="1" xfId="0" applyFont="1" applyBorder="1" applyAlignment="1">
      <alignment horizontal="center"/>
    </xf>
    <xf numFmtId="10" fontId="40" fillId="0" borderId="1" xfId="2" applyNumberFormat="1" applyFont="1" applyFill="1" applyBorder="1" applyAlignment="1">
      <alignment horizontal="center"/>
    </xf>
    <xf numFmtId="43" fontId="40" fillId="0" borderId="1" xfId="1" applyFont="1" applyFill="1" applyBorder="1" applyAlignment="1">
      <alignment horizontal="center"/>
    </xf>
    <xf numFmtId="43" fontId="40" fillId="0" borderId="0" xfId="1" applyFont="1" applyAlignment="1">
      <alignment horizontal="center"/>
    </xf>
    <xf numFmtId="43" fontId="40" fillId="0" borderId="0" xfId="1" applyFont="1" applyFill="1" applyAlignment="1">
      <alignment horizontal="center"/>
    </xf>
    <xf numFmtId="0" fontId="55" fillId="0" borderId="0" xfId="0" applyFont="1" applyAlignment="1">
      <alignment horizontal="right"/>
    </xf>
    <xf numFmtId="2" fontId="55" fillId="0" borderId="0" xfId="0" applyNumberFormat="1" applyFont="1"/>
    <xf numFmtId="0" fontId="36" fillId="0" borderId="5" xfId="0" applyFont="1" applyBorder="1" applyAlignment="1">
      <alignment horizontal="center"/>
    </xf>
    <xf numFmtId="0" fontId="36" fillId="0" borderId="24" xfId="0" applyFont="1" applyBorder="1" applyAlignment="1">
      <alignment horizontal="center"/>
    </xf>
    <xf numFmtId="0" fontId="36" fillId="0" borderId="6" xfId="0" applyFont="1" applyBorder="1" applyAlignment="1">
      <alignment horizontal="center"/>
    </xf>
    <xf numFmtId="164" fontId="40" fillId="0" borderId="10" xfId="1" applyNumberFormat="1" applyFont="1" applyFill="1" applyBorder="1" applyAlignment="1">
      <alignment horizontal="center"/>
    </xf>
    <xf numFmtId="164" fontId="40" fillId="0" borderId="3" xfId="1" applyNumberFormat="1" applyFont="1" applyFill="1" applyBorder="1" applyAlignment="1">
      <alignment horizontal="center"/>
    </xf>
    <xf numFmtId="164" fontId="40" fillId="0" borderId="13" xfId="1" applyNumberFormat="1" applyFont="1" applyFill="1" applyBorder="1" applyAlignment="1">
      <alignment horizontal="center"/>
    </xf>
    <xf numFmtId="169" fontId="23" fillId="0" borderId="26" xfId="0" applyNumberFormat="1" applyFont="1" applyBorder="1" applyAlignment="1">
      <alignment horizontal="center" vertical="center"/>
    </xf>
    <xf numFmtId="0" fontId="24" fillId="0" borderId="0" xfId="0" applyFont="1" applyAlignment="1">
      <alignment horizontal="center"/>
    </xf>
    <xf numFmtId="10" fontId="40" fillId="0" borderId="0" xfId="2" applyNumberFormat="1" applyFont="1" applyFill="1" applyBorder="1" applyAlignment="1">
      <alignment horizontal="center"/>
    </xf>
    <xf numFmtId="10" fontId="40" fillId="0" borderId="0" xfId="2" applyNumberFormat="1" applyFont="1" applyBorder="1" applyAlignment="1">
      <alignment horizontal="center" vertical="center"/>
    </xf>
    <xf numFmtId="10" fontId="30" fillId="0" borderId="3" xfId="2" applyNumberFormat="1" applyFont="1" applyFill="1" applyBorder="1" applyAlignment="1">
      <alignment horizontal="center" vertical="center"/>
    </xf>
    <xf numFmtId="0" fontId="26" fillId="0" borderId="19" xfId="0" applyFont="1" applyBorder="1" applyAlignment="1">
      <alignment horizontal="center" vertical="center"/>
    </xf>
    <xf numFmtId="0" fontId="30" fillId="0" borderId="32" xfId="0" applyFont="1" applyBorder="1"/>
    <xf numFmtId="0" fontId="21" fillId="0" borderId="33" xfId="0" applyFont="1" applyBorder="1"/>
    <xf numFmtId="0" fontId="36" fillId="0" borderId="32" xfId="0" applyFont="1" applyBorder="1"/>
    <xf numFmtId="0" fontId="36" fillId="0" borderId="34" xfId="0" applyFont="1" applyBorder="1"/>
    <xf numFmtId="0" fontId="63" fillId="0" borderId="0" xfId="0" applyFont="1"/>
    <xf numFmtId="0" fontId="36" fillId="4" borderId="20" xfId="0" applyFont="1" applyFill="1" applyBorder="1"/>
    <xf numFmtId="0" fontId="36" fillId="0" borderId="32" xfId="0" applyFont="1" applyBorder="1" applyAlignment="1">
      <alignment horizontal="right"/>
    </xf>
    <xf numFmtId="2" fontId="36" fillId="0" borderId="34" xfId="0" applyNumberFormat="1" applyFont="1" applyBorder="1"/>
    <xf numFmtId="43" fontId="36" fillId="0" borderId="0" xfId="0" applyNumberFormat="1" applyFont="1"/>
    <xf numFmtId="0" fontId="37" fillId="0" borderId="35" xfId="0" applyFont="1" applyBorder="1" applyAlignment="1">
      <alignment horizontal="center"/>
    </xf>
    <xf numFmtId="0" fontId="37" fillId="0" borderId="36" xfId="0" applyFont="1" applyBorder="1" applyAlignment="1">
      <alignment horizontal="center"/>
    </xf>
    <xf numFmtId="0" fontId="37" fillId="0" borderId="37" xfId="0" applyFont="1" applyBorder="1" applyAlignment="1">
      <alignment horizontal="center"/>
    </xf>
    <xf numFmtId="0" fontId="64" fillId="0" borderId="0" xfId="0" applyFont="1" applyAlignment="1">
      <alignment horizontal="left" vertical="top" wrapText="1"/>
    </xf>
    <xf numFmtId="0" fontId="30" fillId="0" borderId="28" xfId="0" applyFont="1" applyBorder="1" applyAlignment="1">
      <alignment horizontal="center"/>
    </xf>
    <xf numFmtId="0" fontId="39" fillId="3" borderId="26" xfId="0" applyFont="1" applyFill="1" applyBorder="1" applyAlignment="1">
      <alignment horizontal="center"/>
    </xf>
    <xf numFmtId="0" fontId="21" fillId="3" borderId="26" xfId="0" applyFont="1" applyFill="1" applyBorder="1" applyAlignment="1">
      <alignment horizontal="center"/>
    </xf>
    <xf numFmtId="0" fontId="39" fillId="3" borderId="27" xfId="0" applyFont="1" applyFill="1" applyBorder="1" applyAlignment="1">
      <alignment horizontal="center"/>
    </xf>
    <xf numFmtId="0" fontId="21" fillId="3" borderId="27" xfId="0" applyFont="1" applyFill="1" applyBorder="1" applyAlignment="1">
      <alignment horizontal="center"/>
    </xf>
    <xf numFmtId="0" fontId="21" fillId="3" borderId="29" xfId="0" applyFont="1" applyFill="1" applyBorder="1" applyAlignment="1">
      <alignment horizontal="center"/>
    </xf>
    <xf numFmtId="0" fontId="39" fillId="3" borderId="25" xfId="0" applyFont="1" applyFill="1" applyBorder="1" applyAlignment="1">
      <alignment horizontal="center"/>
    </xf>
    <xf numFmtId="0" fontId="21" fillId="3" borderId="30" xfId="0" applyFont="1" applyFill="1" applyBorder="1" applyAlignment="1">
      <alignment horizontal="center"/>
    </xf>
    <xf numFmtId="0" fontId="21" fillId="3" borderId="21" xfId="0" applyFont="1" applyFill="1" applyBorder="1" applyAlignment="1">
      <alignment horizontal="center"/>
    </xf>
    <xf numFmtId="0" fontId="21" fillId="3" borderId="23" xfId="0" applyFont="1" applyFill="1" applyBorder="1" applyAlignment="1">
      <alignment horizontal="center"/>
    </xf>
    <xf numFmtId="164" fontId="24" fillId="0" borderId="0" xfId="1" applyNumberFormat="1" applyFont="1" applyFill="1" applyAlignment="1">
      <alignment horizontal="center"/>
    </xf>
    <xf numFmtId="0" fontId="0" fillId="0" borderId="4" xfId="0" applyBorder="1"/>
    <xf numFmtId="0" fontId="0" fillId="0" borderId="33" xfId="0" applyBorder="1"/>
    <xf numFmtId="0" fontId="23" fillId="0" borderId="1" xfId="0" applyFont="1" applyBorder="1" applyAlignment="1">
      <alignment horizontal="right"/>
    </xf>
    <xf numFmtId="164" fontId="24" fillId="0" borderId="1" xfId="1" applyNumberFormat="1" applyFont="1" applyFill="1" applyBorder="1" applyAlignment="1">
      <alignment horizontal="center"/>
    </xf>
    <xf numFmtId="10" fontId="24" fillId="0" borderId="1" xfId="2" applyNumberFormat="1" applyFont="1" applyFill="1" applyBorder="1" applyAlignment="1">
      <alignment horizontal="center" vertical="center"/>
    </xf>
    <xf numFmtId="1" fontId="24" fillId="0" borderId="0" xfId="0" applyNumberFormat="1" applyFont="1" applyAlignment="1">
      <alignment horizontal="center"/>
    </xf>
    <xf numFmtId="0" fontId="36" fillId="0" borderId="4" xfId="0" applyFont="1" applyBorder="1" applyAlignment="1">
      <alignment horizontal="center"/>
    </xf>
    <xf numFmtId="10" fontId="40" fillId="0" borderId="4" xfId="2" applyNumberFormat="1" applyFont="1" applyFill="1" applyBorder="1"/>
    <xf numFmtId="10" fontId="40" fillId="0" borderId="4" xfId="2" applyNumberFormat="1" applyFont="1" applyFill="1" applyBorder="1" applyAlignment="1">
      <alignment horizontal="center"/>
    </xf>
    <xf numFmtId="10" fontId="53" fillId="0" borderId="0" xfId="2" applyNumberFormat="1" applyFont="1" applyFill="1" applyAlignment="1">
      <alignment horizontal="right"/>
    </xf>
    <xf numFmtId="43" fontId="40" fillId="0" borderId="0" xfId="1" applyFont="1" applyFill="1" applyAlignment="1">
      <alignment horizontal="right" vertical="center"/>
    </xf>
    <xf numFmtId="44" fontId="24" fillId="0" borderId="0" xfId="3" applyFont="1" applyFill="1" applyAlignment="1">
      <alignment horizontal="center"/>
    </xf>
    <xf numFmtId="10" fontId="24" fillId="0" borderId="0" xfId="2" applyNumberFormat="1" applyFont="1" applyFill="1" applyAlignment="1">
      <alignment horizontal="right" vertical="center"/>
    </xf>
    <xf numFmtId="10" fontId="24" fillId="0" borderId="1" xfId="2" applyNumberFormat="1" applyFont="1" applyFill="1" applyBorder="1" applyAlignment="1">
      <alignment horizontal="right" vertical="center"/>
    </xf>
    <xf numFmtId="10" fontId="24" fillId="0" borderId="0" xfId="0" applyNumberFormat="1" applyFont="1" applyAlignment="1">
      <alignment horizontal="center"/>
    </xf>
    <xf numFmtId="43" fontId="26" fillId="0" borderId="16" xfId="1" applyFont="1" applyFill="1" applyBorder="1" applyAlignment="1">
      <alignment horizontal="center" vertical="center"/>
    </xf>
    <xf numFmtId="43" fontId="24" fillId="0" borderId="1" xfId="1" applyFont="1" applyFill="1" applyBorder="1" applyAlignment="1">
      <alignment horizontal="right" vertical="center"/>
    </xf>
    <xf numFmtId="2" fontId="40" fillId="0" borderId="2" xfId="0" applyNumberFormat="1" applyFont="1" applyBorder="1" applyAlignment="1">
      <alignment horizontal="center"/>
    </xf>
    <xf numFmtId="3" fontId="40" fillId="0" borderId="10" xfId="0" applyNumberFormat="1" applyFont="1" applyBorder="1"/>
    <xf numFmtId="165" fontId="24" fillId="0" borderId="0" xfId="3" applyNumberFormat="1" applyFont="1" applyFill="1" applyAlignment="1">
      <alignment horizontal="right"/>
    </xf>
    <xf numFmtId="164" fontId="40" fillId="0" borderId="14" xfId="1" applyNumberFormat="1" applyFont="1" applyFill="1" applyBorder="1" applyAlignment="1">
      <alignment horizontal="center"/>
    </xf>
    <xf numFmtId="165" fontId="23" fillId="0" borderId="0" xfId="3" applyNumberFormat="1" applyFont="1" applyAlignment="1">
      <alignment horizontal="center"/>
    </xf>
    <xf numFmtId="3" fontId="40" fillId="0" borderId="3" xfId="0" applyNumberFormat="1" applyFont="1" applyBorder="1"/>
    <xf numFmtId="170" fontId="21" fillId="0" borderId="0" xfId="0" applyNumberFormat="1" applyFont="1"/>
    <xf numFmtId="3" fontId="40" fillId="0" borderId="0" xfId="0" applyNumberFormat="1" applyFont="1"/>
    <xf numFmtId="0" fontId="40" fillId="0" borderId="0" xfId="0" applyFont="1" applyAlignment="1">
      <alignment horizontal="left" vertical="center"/>
    </xf>
    <xf numFmtId="2" fontId="24" fillId="0" borderId="0" xfId="0" applyNumberFormat="1" applyFont="1" applyAlignment="1">
      <alignment horizontal="right" vertical="center"/>
    </xf>
    <xf numFmtId="0" fontId="36" fillId="0" borderId="1" xfId="0" applyFont="1" applyBorder="1" applyAlignment="1">
      <alignment horizontal="right"/>
    </xf>
    <xf numFmtId="10" fontId="36" fillId="0" borderId="1" xfId="2" applyNumberFormat="1" applyFont="1" applyBorder="1"/>
    <xf numFmtId="2" fontId="24" fillId="0" borderId="1" xfId="0" applyNumberFormat="1" applyFont="1" applyBorder="1" applyAlignment="1">
      <alignment horizontal="right" vertical="center"/>
    </xf>
    <xf numFmtId="165" fontId="24" fillId="0" borderId="0" xfId="3" applyNumberFormat="1" applyFont="1" applyFill="1" applyAlignment="1">
      <alignment horizontal="center"/>
    </xf>
    <xf numFmtId="166" fontId="24" fillId="0" borderId="0" xfId="1" applyNumberFormat="1" applyFont="1" applyFill="1" applyAlignment="1">
      <alignment horizontal="center" vertical="center"/>
    </xf>
    <xf numFmtId="10" fontId="30" fillId="0" borderId="0" xfId="2" applyNumberFormat="1" applyFont="1" applyFill="1" applyBorder="1" applyAlignment="1">
      <alignment horizontal="center" vertical="center"/>
    </xf>
    <xf numFmtId="0" fontId="21" fillId="0" borderId="0" xfId="0" applyFont="1" applyAlignment="1">
      <alignment horizontal="right"/>
    </xf>
    <xf numFmtId="0" fontId="21" fillId="0" borderId="21" xfId="0" applyFont="1" applyBorder="1"/>
    <xf numFmtId="169" fontId="23" fillId="0" borderId="21" xfId="0" applyNumberFormat="1" applyFont="1" applyBorder="1" applyAlignment="1">
      <alignment horizontal="center" vertical="center"/>
    </xf>
    <xf numFmtId="0" fontId="21" fillId="0" borderId="23" xfId="0" applyFont="1" applyBorder="1"/>
    <xf numFmtId="10" fontId="30" fillId="0" borderId="0" xfId="2" applyNumberFormat="1" applyFont="1" applyAlignment="1">
      <alignment horizontal="left"/>
    </xf>
    <xf numFmtId="10" fontId="25" fillId="0" borderId="0" xfId="2" applyNumberFormat="1" applyFont="1" applyFill="1" applyAlignment="1">
      <alignment horizontal="center"/>
    </xf>
    <xf numFmtId="0" fontId="65" fillId="0" borderId="0" xfId="0" applyFont="1"/>
    <xf numFmtId="10" fontId="36" fillId="0" borderId="26" xfId="2" applyNumberFormat="1" applyFont="1" applyFill="1" applyBorder="1" applyAlignment="1">
      <alignment horizontal="center"/>
    </xf>
    <xf numFmtId="10" fontId="50" fillId="0" borderId="16" xfId="2" applyNumberFormat="1" applyFont="1" applyFill="1" applyBorder="1" applyAlignment="1">
      <alignment horizontal="center"/>
    </xf>
    <xf numFmtId="0" fontId="24" fillId="0" borderId="0" xfId="1" applyNumberFormat="1" applyFont="1" applyFill="1"/>
    <xf numFmtId="0" fontId="38" fillId="0" borderId="28" xfId="0" applyFont="1" applyBorder="1"/>
    <xf numFmtId="10" fontId="38" fillId="0" borderId="28" xfId="2" applyNumberFormat="1" applyFont="1" applyFill="1" applyBorder="1"/>
    <xf numFmtId="2" fontId="38" fillId="0" borderId="28" xfId="0" applyNumberFormat="1" applyFont="1" applyBorder="1"/>
    <xf numFmtId="2" fontId="26" fillId="0" borderId="0" xfId="0" applyNumberFormat="1" applyFont="1" applyAlignment="1">
      <alignment horizontal="center"/>
    </xf>
    <xf numFmtId="10" fontId="26" fillId="0" borderId="0" xfId="2" applyNumberFormat="1" applyFont="1" applyFill="1" applyBorder="1" applyAlignment="1">
      <alignment horizontal="center"/>
    </xf>
    <xf numFmtId="10" fontId="24" fillId="0" borderId="0" xfId="2" applyNumberFormat="1" applyFont="1" applyAlignment="1">
      <alignment horizontal="right"/>
    </xf>
    <xf numFmtId="10" fontId="24" fillId="0" borderId="4" xfId="2" applyNumberFormat="1" applyFont="1" applyFill="1" applyBorder="1" applyAlignment="1">
      <alignment horizontal="right"/>
    </xf>
    <xf numFmtId="10" fontId="24" fillId="0" borderId="4" xfId="2" applyNumberFormat="1" applyFont="1" applyBorder="1" applyAlignment="1">
      <alignment horizontal="right"/>
    </xf>
    <xf numFmtId="0" fontId="40" fillId="0" borderId="18" xfId="0" applyFont="1" applyBorder="1"/>
    <xf numFmtId="10" fontId="40" fillId="0" borderId="28" xfId="2" applyNumberFormat="1" applyFont="1" applyFill="1" applyBorder="1" applyAlignment="1">
      <alignment horizontal="center"/>
    </xf>
    <xf numFmtId="10" fontId="29" fillId="0" borderId="0" xfId="2" applyNumberFormat="1" applyFont="1" applyFill="1" applyAlignment="1">
      <alignment horizontal="right"/>
    </xf>
    <xf numFmtId="10" fontId="24" fillId="0" borderId="1" xfId="2" applyNumberFormat="1" applyFont="1" applyBorder="1" applyAlignment="1">
      <alignment horizontal="right" vertical="center"/>
    </xf>
    <xf numFmtId="0" fontId="30" fillId="0" borderId="3" xfId="0" applyFont="1" applyBorder="1" applyAlignment="1">
      <alignment horizontal="center"/>
    </xf>
    <xf numFmtId="10" fontId="23" fillId="0" borderId="0" xfId="2" applyNumberFormat="1" applyFont="1" applyFill="1" applyAlignment="1">
      <alignment horizontal="right" vertical="center"/>
    </xf>
    <xf numFmtId="10" fontId="23" fillId="0" borderId="0" xfId="2" applyNumberFormat="1" applyFont="1" applyFill="1" applyBorder="1" applyAlignment="1">
      <alignment horizontal="right" vertical="center"/>
    </xf>
    <xf numFmtId="43" fontId="26" fillId="0" borderId="16" xfId="1" applyFont="1" applyFill="1" applyBorder="1" applyAlignment="1">
      <alignment horizontal="center"/>
    </xf>
    <xf numFmtId="0" fontId="36" fillId="4" borderId="38" xfId="0" applyFont="1" applyFill="1" applyBorder="1"/>
    <xf numFmtId="10" fontId="40" fillId="4" borderId="38" xfId="2" applyNumberFormat="1" applyFont="1" applyFill="1" applyBorder="1" applyAlignment="1">
      <alignment horizontal="center"/>
    </xf>
    <xf numFmtId="0" fontId="21" fillId="0" borderId="20" xfId="0" applyFont="1" applyBorder="1"/>
    <xf numFmtId="10" fontId="40" fillId="4" borderId="20" xfId="2" applyNumberFormat="1" applyFont="1" applyFill="1" applyBorder="1" applyAlignment="1">
      <alignment horizontal="center"/>
    </xf>
    <xf numFmtId="10" fontId="21" fillId="0" borderId="20" xfId="2" applyNumberFormat="1" applyFont="1" applyFill="1" applyBorder="1"/>
    <xf numFmtId="10" fontId="21" fillId="0" borderId="20" xfId="0" applyNumberFormat="1" applyFont="1" applyBorder="1"/>
    <xf numFmtId="0" fontId="40" fillId="3" borderId="22" xfId="0" applyFont="1" applyFill="1" applyBorder="1"/>
    <xf numFmtId="10" fontId="40" fillId="3" borderId="27" xfId="2" applyNumberFormat="1" applyFont="1" applyFill="1" applyBorder="1" applyAlignment="1">
      <alignment horizontal="center"/>
    </xf>
    <xf numFmtId="43" fontId="40" fillId="0" borderId="1" xfId="1" applyFont="1" applyFill="1" applyBorder="1" applyAlignment="1">
      <alignment horizontal="right" vertical="center"/>
    </xf>
    <xf numFmtId="0" fontId="38" fillId="0" borderId="16" xfId="0" applyFont="1" applyBorder="1" applyAlignment="1">
      <alignment horizontal="center"/>
    </xf>
    <xf numFmtId="0" fontId="21" fillId="0" borderId="8" xfId="0" applyFont="1" applyBorder="1"/>
    <xf numFmtId="0" fontId="21" fillId="0" borderId="14" xfId="0" applyFont="1" applyBorder="1"/>
    <xf numFmtId="0" fontId="0" fillId="0" borderId="8" xfId="0" applyBorder="1"/>
    <xf numFmtId="0" fontId="0" fillId="0" borderId="14" xfId="0" applyBorder="1"/>
    <xf numFmtId="10" fontId="40" fillId="4" borderId="26" xfId="2" applyNumberFormat="1" applyFont="1" applyFill="1" applyBorder="1" applyAlignment="1">
      <alignment horizontal="center"/>
    </xf>
    <xf numFmtId="0" fontId="36" fillId="4" borderId="26" xfId="0" applyFont="1" applyFill="1" applyBorder="1"/>
    <xf numFmtId="0" fontId="40" fillId="4" borderId="26" xfId="0" applyFont="1" applyFill="1" applyBorder="1"/>
    <xf numFmtId="0" fontId="40" fillId="3" borderId="26" xfId="0" applyFont="1" applyFill="1" applyBorder="1"/>
    <xf numFmtId="0" fontId="36" fillId="4" borderId="7" xfId="0" applyFont="1" applyFill="1" applyBorder="1" applyAlignment="1">
      <alignment horizontal="left" vertical="center"/>
    </xf>
    <xf numFmtId="10" fontId="45" fillId="0" borderId="0" xfId="2" applyNumberFormat="1" applyFont="1" applyFill="1" applyBorder="1" applyAlignment="1">
      <alignment horizontal="center"/>
    </xf>
    <xf numFmtId="10" fontId="26" fillId="0" borderId="16" xfId="2" applyNumberFormat="1" applyFont="1" applyFill="1" applyBorder="1" applyAlignment="1">
      <alignment horizontal="center" vertical="center"/>
    </xf>
    <xf numFmtId="10" fontId="26" fillId="0" borderId="16" xfId="2" applyNumberFormat="1" applyFont="1" applyFill="1" applyBorder="1" applyAlignment="1">
      <alignment horizontal="center"/>
    </xf>
    <xf numFmtId="0" fontId="39" fillId="3" borderId="0" xfId="0" applyFont="1" applyFill="1" applyAlignment="1">
      <alignment horizontal="center"/>
    </xf>
    <xf numFmtId="0" fontId="21" fillId="3" borderId="39" xfId="0" applyFont="1" applyFill="1" applyBorder="1" applyAlignment="1">
      <alignment horizontal="center"/>
    </xf>
    <xf numFmtId="0" fontId="39" fillId="3" borderId="1" xfId="0" applyFont="1" applyFill="1" applyBorder="1" applyAlignment="1">
      <alignment horizontal="center"/>
    </xf>
    <xf numFmtId="0" fontId="39" fillId="3" borderId="29" xfId="0" applyFont="1" applyFill="1" applyBorder="1" applyAlignment="1">
      <alignment horizontal="center"/>
    </xf>
    <xf numFmtId="0" fontId="39" fillId="3" borderId="20" xfId="0" applyFont="1" applyFill="1" applyBorder="1" applyAlignment="1">
      <alignment horizontal="center"/>
    </xf>
    <xf numFmtId="0" fontId="39" fillId="3" borderId="22" xfId="0" applyFont="1" applyFill="1" applyBorder="1" applyAlignment="1">
      <alignment horizontal="center"/>
    </xf>
    <xf numFmtId="0" fontId="21" fillId="3" borderId="40" xfId="0" applyFont="1" applyFill="1" applyBorder="1" applyAlignment="1">
      <alignment horizontal="center"/>
    </xf>
    <xf numFmtId="0" fontId="21" fillId="3" borderId="41" xfId="0" applyFont="1" applyFill="1" applyBorder="1" applyAlignment="1">
      <alignment horizontal="center"/>
    </xf>
    <xf numFmtId="0" fontId="38" fillId="0" borderId="18" xfId="0" applyFont="1" applyBorder="1"/>
    <xf numFmtId="43" fontId="38" fillId="0" borderId="28" xfId="1" applyFont="1" applyFill="1" applyBorder="1"/>
    <xf numFmtId="2" fontId="26" fillId="0" borderId="16" xfId="0" applyNumberFormat="1" applyFont="1" applyBorder="1" applyAlignment="1">
      <alignment horizontal="center"/>
    </xf>
    <xf numFmtId="10" fontId="25" fillId="0" borderId="16" xfId="2" applyNumberFormat="1" applyFont="1" applyFill="1" applyBorder="1"/>
    <xf numFmtId="10" fontId="25" fillId="0" borderId="16" xfId="2" applyNumberFormat="1" applyFont="1" applyFill="1" applyBorder="1" applyAlignment="1">
      <alignment horizontal="center"/>
    </xf>
    <xf numFmtId="10" fontId="68" fillId="0" borderId="0" xfId="2" applyNumberFormat="1" applyFont="1" applyFill="1" applyAlignment="1">
      <alignment horizontal="center"/>
    </xf>
    <xf numFmtId="10" fontId="26" fillId="0" borderId="32" xfId="2" applyNumberFormat="1" applyFont="1" applyFill="1" applyBorder="1" applyAlignment="1">
      <alignment horizontal="right"/>
    </xf>
    <xf numFmtId="10" fontId="26" fillId="0" borderId="34" xfId="0" applyNumberFormat="1" applyFont="1" applyBorder="1"/>
    <xf numFmtId="171" fontId="26" fillId="0" borderId="16" xfId="2" applyNumberFormat="1" applyFont="1" applyFill="1" applyBorder="1" applyAlignment="1">
      <alignment horizontal="center"/>
    </xf>
    <xf numFmtId="10" fontId="45" fillId="0" borderId="16" xfId="2" applyNumberFormat="1" applyFont="1" applyFill="1" applyBorder="1" applyAlignment="1">
      <alignment horizontal="center"/>
    </xf>
    <xf numFmtId="0" fontId="0" fillId="0" borderId="20" xfId="0" applyBorder="1"/>
    <xf numFmtId="10" fontId="68" fillId="0" borderId="0" xfId="2" applyNumberFormat="1" applyFont="1" applyAlignment="1">
      <alignment horizontal="center"/>
    </xf>
    <xf numFmtId="0" fontId="50" fillId="0" borderId="0" xfId="0" applyFont="1"/>
    <xf numFmtId="0" fontId="24" fillId="0" borderId="29" xfId="0" applyFont="1" applyBorder="1" applyAlignment="1">
      <alignment horizontal="right"/>
    </xf>
    <xf numFmtId="0" fontId="24" fillId="0" borderId="30" xfId="0" applyFont="1" applyBorder="1" applyAlignment="1">
      <alignment horizontal="left"/>
    </xf>
    <xf numFmtId="0" fontId="24" fillId="0" borderId="20" xfId="0" applyFont="1" applyBorder="1" applyAlignment="1">
      <alignment horizontal="right"/>
    </xf>
    <xf numFmtId="0" fontId="24" fillId="0" borderId="21" xfId="0" applyFont="1" applyBorder="1" applyAlignment="1">
      <alignment horizontal="left"/>
    </xf>
    <xf numFmtId="0" fontId="24" fillId="0" borderId="22" xfId="0" applyFont="1" applyBorder="1" applyAlignment="1">
      <alignment horizontal="right"/>
    </xf>
    <xf numFmtId="0" fontId="24" fillId="0" borderId="23" xfId="0" applyFont="1" applyBorder="1" applyAlignment="1">
      <alignment horizontal="left"/>
    </xf>
    <xf numFmtId="10" fontId="30" fillId="0" borderId="16" xfId="2" applyNumberFormat="1" applyFont="1" applyFill="1" applyBorder="1" applyAlignment="1">
      <alignment horizontal="center"/>
    </xf>
    <xf numFmtId="10" fontId="49" fillId="0" borderId="0" xfId="2" applyNumberFormat="1" applyFont="1" applyFill="1" applyBorder="1" applyAlignment="1">
      <alignment horizontal="center" vertical="center"/>
    </xf>
    <xf numFmtId="0" fontId="51" fillId="0" borderId="0" xfId="6" applyFont="1"/>
    <xf numFmtId="0" fontId="51" fillId="0" borderId="0" xfId="6" applyFont="1" applyFill="1" applyAlignment="1" applyProtection="1"/>
    <xf numFmtId="0" fontId="69" fillId="0" borderId="0" xfId="0" applyFont="1" applyAlignment="1">
      <alignment horizontal="right"/>
    </xf>
    <xf numFmtId="0" fontId="70" fillId="0" borderId="30" xfId="0" applyFont="1" applyBorder="1" applyAlignment="1">
      <alignment horizontal="left"/>
    </xf>
    <xf numFmtId="0" fontId="70" fillId="0" borderId="21" xfId="0" applyFont="1" applyBorder="1" applyAlignment="1">
      <alignment horizontal="left"/>
    </xf>
    <xf numFmtId="0" fontId="70" fillId="0" borderId="23" xfId="0" applyFont="1" applyBorder="1" applyAlignment="1">
      <alignment horizontal="left"/>
    </xf>
    <xf numFmtId="0" fontId="49" fillId="0" borderId="7" xfId="0" applyFont="1" applyBorder="1" applyAlignment="1">
      <alignment horizontal="center" vertical="center"/>
    </xf>
    <xf numFmtId="0" fontId="39" fillId="0" borderId="24" xfId="0" applyFont="1" applyBorder="1"/>
    <xf numFmtId="15" fontId="36" fillId="0" borderId="10" xfId="0" quotePrefix="1" applyNumberFormat="1" applyFont="1" applyBorder="1" applyAlignment="1">
      <alignment horizontal="center"/>
    </xf>
    <xf numFmtId="10" fontId="40" fillId="0" borderId="10" xfId="2" applyNumberFormat="1" applyFont="1" applyFill="1" applyBorder="1"/>
    <xf numFmtId="10" fontId="40" fillId="0" borderId="3" xfId="2" applyNumberFormat="1" applyFont="1" applyFill="1" applyBorder="1"/>
    <xf numFmtId="15" fontId="36" fillId="0" borderId="24" xfId="0" quotePrefix="1" applyNumberFormat="1" applyFont="1" applyBorder="1" applyAlignment="1">
      <alignment horizontal="center"/>
    </xf>
    <xf numFmtId="0" fontId="39" fillId="0" borderId="10" xfId="0" applyFont="1" applyBorder="1"/>
    <xf numFmtId="164" fontId="40" fillId="0" borderId="10" xfId="1" applyNumberFormat="1" applyFont="1" applyFill="1" applyBorder="1"/>
    <xf numFmtId="164" fontId="40" fillId="0" borderId="3" xfId="1" applyNumberFormat="1" applyFont="1" applyFill="1" applyBorder="1"/>
    <xf numFmtId="164" fontId="49" fillId="0" borderId="10" xfId="1" applyNumberFormat="1" applyFont="1" applyFill="1" applyBorder="1"/>
    <xf numFmtId="10" fontId="24" fillId="0" borderId="0" xfId="1" applyNumberFormat="1" applyFont="1" applyFill="1" applyAlignment="1">
      <alignment horizontal="right" vertical="center"/>
    </xf>
    <xf numFmtId="10" fontId="24" fillId="0" borderId="1" xfId="1" applyNumberFormat="1" applyFont="1" applyFill="1" applyBorder="1" applyAlignment="1">
      <alignment horizontal="right" vertical="center"/>
    </xf>
    <xf numFmtId="10" fontId="24" fillId="3" borderId="24" xfId="2" applyNumberFormat="1" applyFont="1" applyFill="1" applyBorder="1" applyAlignment="1">
      <alignment horizontal="center"/>
    </xf>
    <xf numFmtId="10" fontId="24" fillId="3" borderId="10" xfId="2" applyNumberFormat="1" applyFont="1" applyFill="1" applyBorder="1" applyAlignment="1">
      <alignment horizontal="center"/>
    </xf>
    <xf numFmtId="10" fontId="24" fillId="3" borderId="3" xfId="2" applyNumberFormat="1" applyFont="1" applyFill="1" applyBorder="1" applyAlignment="1">
      <alignment horizontal="center"/>
    </xf>
    <xf numFmtId="10" fontId="24" fillId="3" borderId="3" xfId="1" applyNumberFormat="1" applyFont="1" applyFill="1" applyBorder="1" applyAlignment="1">
      <alignment horizontal="center"/>
    </xf>
    <xf numFmtId="10" fontId="24" fillId="3" borderId="24" xfId="1" applyNumberFormat="1" applyFont="1" applyFill="1" applyBorder="1" applyAlignment="1">
      <alignment horizontal="center"/>
    </xf>
    <xf numFmtId="10" fontId="24" fillId="3" borderId="10" xfId="1" applyNumberFormat="1" applyFont="1" applyFill="1" applyBorder="1" applyAlignment="1">
      <alignment horizontal="center"/>
    </xf>
    <xf numFmtId="0" fontId="66" fillId="3" borderId="24" xfId="0" applyFont="1" applyFill="1" applyBorder="1"/>
    <xf numFmtId="0" fontId="66" fillId="3" borderId="10" xfId="0" applyFont="1" applyFill="1" applyBorder="1"/>
    <xf numFmtId="0" fontId="66" fillId="3" borderId="3" xfId="0" applyFont="1" applyFill="1" applyBorder="1"/>
    <xf numFmtId="0" fontId="66" fillId="3" borderId="16" xfId="0" applyFont="1" applyFill="1" applyBorder="1"/>
    <xf numFmtId="0" fontId="30" fillId="3" borderId="25" xfId="0" applyFont="1" applyFill="1" applyBorder="1" applyAlignment="1">
      <alignment horizontal="center"/>
    </xf>
    <xf numFmtId="0" fontId="26" fillId="0" borderId="28" xfId="0" applyFont="1" applyBorder="1"/>
    <xf numFmtId="10" fontId="26" fillId="0" borderId="28" xfId="2" applyNumberFormat="1" applyFont="1" applyFill="1" applyBorder="1"/>
    <xf numFmtId="2" fontId="24" fillId="0" borderId="0" xfId="0" applyNumberFormat="1" applyFont="1" applyAlignment="1">
      <alignment horizontal="right"/>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2" fillId="0" borderId="0" xfId="0" applyFont="1" applyAlignment="1">
      <alignment horizontal="left" vertical="top" wrapText="1"/>
    </xf>
    <xf numFmtId="0" fontId="39" fillId="0" borderId="0" xfId="0" applyFont="1" applyAlignment="1">
      <alignment horizontal="center"/>
    </xf>
    <xf numFmtId="0" fontId="67" fillId="3" borderId="24" xfId="0" applyFont="1" applyFill="1" applyBorder="1" applyAlignment="1">
      <alignment horizontal="center" vertical="center"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400049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227886</xdr:colOff>
      <xdr:row>39</xdr:row>
      <xdr:rowOff>151476</xdr:rowOff>
    </xdr:to>
    <xdr:pic>
      <xdr:nvPicPr>
        <xdr:cNvPr id="6" name="Picture 5">
          <a:extLst>
            <a:ext uri="{FF2B5EF4-FFF2-40B4-BE49-F238E27FC236}">
              <a16:creationId xmlns:a16="http://schemas.microsoft.com/office/drawing/2014/main" id="{A38828A8-235E-97E6-4395-1E9051F95A4C}"/>
            </a:ext>
          </a:extLst>
        </xdr:cNvPr>
        <xdr:cNvPicPr>
          <a:picLocks noChangeAspect="1"/>
        </xdr:cNvPicPr>
      </xdr:nvPicPr>
      <xdr:blipFill>
        <a:blip xmlns:r="http://schemas.openxmlformats.org/officeDocument/2006/relationships" r:embed="rId1"/>
        <a:stretch>
          <a:fillRect/>
        </a:stretch>
      </xdr:blipFill>
      <xdr:spPr>
        <a:xfrm>
          <a:off x="0" y="190500"/>
          <a:ext cx="5714286" cy="7390476"/>
        </a:xfrm>
        <a:prstGeom prst="rect">
          <a:avLst/>
        </a:prstGeom>
      </xdr:spPr>
    </xdr:pic>
    <xdr:clientData/>
  </xdr:twoCellAnchor>
  <xdr:twoCellAnchor editAs="oneCell">
    <xdr:from>
      <xdr:col>10</xdr:col>
      <xdr:colOff>0</xdr:colOff>
      <xdr:row>1</xdr:row>
      <xdr:rowOff>0</xdr:rowOff>
    </xdr:from>
    <xdr:to>
      <xdr:col>19</xdr:col>
      <xdr:colOff>199314</xdr:colOff>
      <xdr:row>39</xdr:row>
      <xdr:rowOff>141952</xdr:rowOff>
    </xdr:to>
    <xdr:pic>
      <xdr:nvPicPr>
        <xdr:cNvPr id="7" name="Picture 6">
          <a:extLst>
            <a:ext uri="{FF2B5EF4-FFF2-40B4-BE49-F238E27FC236}">
              <a16:creationId xmlns:a16="http://schemas.microsoft.com/office/drawing/2014/main" id="{9EE5F12B-82A3-6EFA-DFE4-A3F9E2A9E9BB}"/>
            </a:ext>
          </a:extLst>
        </xdr:cNvPr>
        <xdr:cNvPicPr>
          <a:picLocks noChangeAspect="1"/>
        </xdr:cNvPicPr>
      </xdr:nvPicPr>
      <xdr:blipFill>
        <a:blip xmlns:r="http://schemas.openxmlformats.org/officeDocument/2006/relationships" r:embed="rId2"/>
        <a:stretch>
          <a:fillRect/>
        </a:stretch>
      </xdr:blipFill>
      <xdr:spPr>
        <a:xfrm>
          <a:off x="6096000" y="190500"/>
          <a:ext cx="5685714" cy="73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philadelphiafed.org/research-and-data/real-time-center/livingston-survey" TargetMode="External"/><Relationship Id="rId13" Type="http://schemas.openxmlformats.org/officeDocument/2006/relationships/hyperlink" Target="https://www.federalreserve.gov/monetarypolicy/files/fomcprojtabl20231213.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surveys-and-data/real-time-data-research/survey-of-professional-forecasters"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about/products/budget-economic-data" TargetMode="External"/><Relationship Id="rId11" Type="http://schemas.openxmlformats.org/officeDocument/2006/relationships/hyperlink" Target="https://www.cbo.gov/system/files/2021-02/56970-Outlook.p"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datadownload/Preview.aspx?pi=400&amp;rel=H15&amp;preview=%20H15/H15/RIFLGFCY05_N.WF" TargetMode="External"/><Relationship Id="rId4" Type="http://schemas.openxmlformats.org/officeDocument/2006/relationships/hyperlink" Target="https://www.cbo.gov/publication/59933" TargetMode="External"/><Relationship Id="rId9" Type="http://schemas.openxmlformats.org/officeDocument/2006/relationships/hyperlink" Target="http://www.federalreserve.gov/Releases/H15/Current/" TargetMode="External"/><Relationship Id="rId14" Type="http://schemas.openxmlformats.org/officeDocument/2006/relationships/hyperlink" Target="https://www.philadelphiafed.org/-/media/frbp/assets/surveys-and-data/survey-of-professional-forecasters/2024/spfq12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60" zoomScaleNormal="100" workbookViewId="0">
      <selection activeCell="A10" sqref="A10"/>
    </sheetView>
  </sheetViews>
  <sheetFormatPr defaultRowHeight="14.5"/>
  <cols>
    <col min="9" max="9" width="16.453125" customWidth="1"/>
  </cols>
  <sheetData>
    <row r="1" spans="1:13" ht="18.5">
      <c r="A1" s="446" t="s">
        <v>0</v>
      </c>
      <c r="B1" s="447"/>
      <c r="C1" s="447"/>
      <c r="D1" s="447"/>
      <c r="E1" s="447"/>
      <c r="F1" s="447"/>
      <c r="G1" s="447"/>
      <c r="H1" s="447"/>
      <c r="I1" s="447"/>
    </row>
    <row r="5" spans="1:13" ht="27.5">
      <c r="E5" s="448" t="s">
        <v>0</v>
      </c>
      <c r="F5" s="449"/>
      <c r="G5" s="449"/>
      <c r="H5" s="449"/>
      <c r="I5" s="449"/>
      <c r="J5" s="449"/>
      <c r="K5" s="449"/>
      <c r="L5" s="449"/>
      <c r="M5" s="449"/>
    </row>
    <row r="7" spans="1:13" ht="27.5">
      <c r="A7" s="450" t="s">
        <v>31</v>
      </c>
      <c r="B7" s="451"/>
      <c r="C7" s="451"/>
      <c r="D7" s="451"/>
      <c r="E7" s="451"/>
      <c r="F7" s="451"/>
      <c r="G7" s="451"/>
      <c r="H7" s="451"/>
      <c r="I7" s="451"/>
    </row>
    <row r="8" spans="1:13" ht="27.5">
      <c r="A8" s="6"/>
      <c r="B8" s="7"/>
      <c r="C8" s="7"/>
      <c r="D8" s="7"/>
      <c r="E8" s="448" t="s">
        <v>0</v>
      </c>
      <c r="F8" s="449"/>
      <c r="G8" s="449"/>
      <c r="H8" s="449"/>
      <c r="I8" s="449"/>
      <c r="J8" s="449"/>
      <c r="K8" s="449"/>
      <c r="L8" s="449"/>
      <c r="M8" s="449"/>
    </row>
    <row r="9" spans="1:13" ht="27.5">
      <c r="A9" s="448" t="s">
        <v>485</v>
      </c>
      <c r="B9" s="449"/>
      <c r="C9" s="449"/>
      <c r="D9" s="449"/>
      <c r="E9" s="449"/>
      <c r="F9" s="449"/>
      <c r="G9" s="449"/>
      <c r="H9" s="449"/>
      <c r="I9" s="449"/>
    </row>
    <row r="15" spans="1:13">
      <c r="A15" s="443" t="s">
        <v>0</v>
      </c>
      <c r="B15" s="444"/>
      <c r="C15" s="444"/>
      <c r="D15" s="444"/>
      <c r="E15" s="444"/>
      <c r="F15" s="444"/>
      <c r="G15" s="444"/>
      <c r="H15" s="444"/>
      <c r="I15" s="444"/>
    </row>
    <row r="16" spans="1:13" ht="33.5">
      <c r="A16" s="441" t="str">
        <f>+'S&amp;D'!A12</f>
        <v>Electric Utilities</v>
      </c>
      <c r="B16" s="442"/>
      <c r="C16" s="442"/>
      <c r="D16" s="442"/>
      <c r="E16" s="442"/>
      <c r="F16" s="442"/>
      <c r="G16" s="442"/>
      <c r="H16" s="442"/>
      <c r="I16" s="442"/>
    </row>
    <row r="17" spans="1:9">
      <c r="A17" s="443" t="s">
        <v>0</v>
      </c>
      <c r="B17" s="444"/>
      <c r="C17" s="444"/>
      <c r="D17" s="444"/>
      <c r="E17" s="444"/>
      <c r="F17" s="444"/>
      <c r="G17" s="444"/>
      <c r="H17" s="444"/>
      <c r="I17" s="444"/>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43" t="s">
        <v>0</v>
      </c>
      <c r="B29" s="444"/>
      <c r="C29" s="444"/>
      <c r="D29" s="444"/>
      <c r="E29" s="444"/>
      <c r="F29" s="444"/>
      <c r="G29" s="444"/>
      <c r="H29" s="444"/>
      <c r="I29" s="444"/>
    </row>
    <row r="34" spans="1:9">
      <c r="A34" s="445"/>
      <c r="B34" s="445"/>
      <c r="C34" s="445"/>
      <c r="D34" s="445"/>
      <c r="E34" s="445"/>
      <c r="F34" s="445"/>
      <c r="G34" s="445"/>
      <c r="H34" s="445"/>
      <c r="I34" s="445"/>
    </row>
    <row r="35" spans="1:9">
      <c r="A35" s="445"/>
      <c r="B35" s="445"/>
      <c r="C35" s="445"/>
      <c r="D35" s="445"/>
      <c r="E35" s="445"/>
      <c r="F35" s="445"/>
      <c r="G35" s="445"/>
      <c r="H35" s="445"/>
      <c r="I35" s="445"/>
    </row>
    <row r="36" spans="1:9">
      <c r="A36" s="445"/>
      <c r="B36" s="445"/>
      <c r="C36" s="445"/>
      <c r="D36" s="445"/>
      <c r="E36" s="445"/>
      <c r="F36" s="445"/>
      <c r="G36" s="445"/>
      <c r="H36" s="445"/>
      <c r="I36" s="445"/>
    </row>
    <row r="37" spans="1:9">
      <c r="A37" s="445"/>
      <c r="B37" s="445"/>
      <c r="C37" s="445"/>
      <c r="D37" s="445"/>
      <c r="E37" s="445"/>
      <c r="F37" s="445"/>
      <c r="G37" s="445"/>
      <c r="H37" s="445"/>
      <c r="I37" s="445"/>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K43"/>
  <sheetViews>
    <sheetView view="pageBreakPreview" topLeftCell="A13" zoomScale="70" zoomScaleNormal="80" zoomScaleSheetLayoutView="70" workbookViewId="0">
      <selection activeCell="H34" sqref="H34"/>
    </sheetView>
  </sheetViews>
  <sheetFormatPr defaultRowHeight="14.5"/>
  <cols>
    <col min="1" max="1" width="51.7265625" customWidth="1"/>
    <col min="2" max="2" width="10.81640625" bestFit="1" customWidth="1"/>
    <col min="3" max="3" width="20.54296875" customWidth="1"/>
    <col min="4" max="4" width="21.7265625" customWidth="1"/>
    <col min="5" max="5" width="24.1796875" customWidth="1"/>
    <col min="6" max="6" width="22.26953125" customWidth="1"/>
    <col min="7" max="7" width="23.81640625" customWidth="1"/>
    <col min="8" max="8" width="22.7265625" customWidth="1"/>
    <col min="9" max="9" width="15" customWidth="1"/>
    <col min="10" max="10" width="14.1796875" bestFit="1" customWidth="1"/>
  </cols>
  <sheetData>
    <row r="1" spans="1:11" ht="25.5">
      <c r="A1" s="25" t="s">
        <v>1</v>
      </c>
      <c r="B1" s="13"/>
      <c r="C1" s="13"/>
      <c r="D1" s="13"/>
      <c r="E1" s="13"/>
      <c r="F1" s="13"/>
      <c r="G1" s="13"/>
      <c r="H1" s="13"/>
      <c r="I1" s="13"/>
      <c r="J1" s="13"/>
      <c r="K1" s="13"/>
    </row>
    <row r="2" spans="1:11" ht="17.5">
      <c r="A2" s="26" t="s">
        <v>9</v>
      </c>
      <c r="B2" s="13"/>
      <c r="C2" s="13"/>
      <c r="D2" s="13"/>
      <c r="E2" s="13"/>
      <c r="F2" s="13"/>
      <c r="G2" s="13"/>
      <c r="H2" s="13"/>
      <c r="I2" s="13"/>
      <c r="J2" s="13"/>
      <c r="K2" s="13"/>
    </row>
    <row r="3" spans="1:11" ht="17">
      <c r="A3" s="27" t="s">
        <v>483</v>
      </c>
      <c r="B3" s="13"/>
      <c r="C3" s="13"/>
      <c r="D3" s="13"/>
      <c r="E3" s="13"/>
      <c r="F3" s="13"/>
      <c r="G3" s="13"/>
      <c r="H3" s="13"/>
      <c r="I3" s="13"/>
      <c r="J3" s="13"/>
      <c r="K3" s="13"/>
    </row>
    <row r="4" spans="1:11" ht="17">
      <c r="A4" s="27"/>
      <c r="B4" s="13"/>
      <c r="C4" s="13"/>
      <c r="D4" s="13"/>
      <c r="E4" s="13"/>
      <c r="F4" s="13"/>
      <c r="G4" s="13"/>
      <c r="H4" s="13"/>
      <c r="I4" s="13"/>
      <c r="J4" s="13"/>
      <c r="K4" s="13"/>
    </row>
    <row r="5" spans="1:11" ht="17.5" thickBot="1">
      <c r="A5" s="13"/>
      <c r="B5" s="13"/>
      <c r="C5" s="13"/>
      <c r="D5" s="13"/>
      <c r="E5" s="13"/>
      <c r="F5" s="28" t="s">
        <v>0</v>
      </c>
      <c r="G5" s="28"/>
      <c r="H5" s="13"/>
      <c r="I5" s="13"/>
      <c r="J5" s="13"/>
      <c r="K5" s="13"/>
    </row>
    <row r="6" spans="1:11" ht="21.5" thickBot="1">
      <c r="A6" s="275" t="str">
        <f>+'S&amp;D'!A12</f>
        <v>Electric Utilities</v>
      </c>
      <c r="B6" s="203"/>
      <c r="C6" s="13"/>
      <c r="D6" s="30"/>
      <c r="E6" s="30"/>
      <c r="F6" s="30"/>
      <c r="G6" s="13"/>
      <c r="H6" s="13"/>
      <c r="I6" s="13"/>
      <c r="J6" s="13"/>
      <c r="K6" s="13"/>
    </row>
    <row r="7" spans="1:11" ht="25.5">
      <c r="A7" s="32"/>
      <c r="B7" s="13"/>
      <c r="C7" s="13"/>
      <c r="D7" s="13"/>
      <c r="E7" s="33" t="s">
        <v>227</v>
      </c>
      <c r="F7" s="13"/>
      <c r="G7" s="13"/>
      <c r="H7" s="13"/>
      <c r="I7" s="13"/>
      <c r="J7" s="13"/>
      <c r="K7" s="13"/>
    </row>
    <row r="8" spans="1:11" ht="17.5" thickBot="1">
      <c r="A8" s="42" t="s">
        <v>0</v>
      </c>
      <c r="B8" s="42" t="s">
        <v>0</v>
      </c>
      <c r="C8" s="42" t="s">
        <v>0</v>
      </c>
      <c r="D8" s="35" t="s">
        <v>0</v>
      </c>
      <c r="E8" s="34" t="s">
        <v>484</v>
      </c>
      <c r="F8" s="35" t="s">
        <v>0</v>
      </c>
      <c r="G8" s="42"/>
      <c r="H8" s="42" t="s">
        <v>0</v>
      </c>
      <c r="I8" s="42" t="s">
        <v>0</v>
      </c>
      <c r="J8" s="13"/>
      <c r="K8" s="13"/>
    </row>
    <row r="9" spans="1:11" ht="17">
      <c r="A9" s="42"/>
      <c r="B9" s="42"/>
      <c r="H9" s="42"/>
      <c r="I9" s="42"/>
      <c r="J9" s="13"/>
      <c r="K9" s="13"/>
    </row>
    <row r="10" spans="1:11" ht="17">
      <c r="A10" s="42"/>
      <c r="B10" s="42"/>
      <c r="E10" s="14" t="s">
        <v>0</v>
      </c>
      <c r="H10" s="42"/>
      <c r="I10" s="42"/>
      <c r="J10" s="13"/>
      <c r="K10" s="13"/>
    </row>
    <row r="11" spans="1:11" ht="17">
      <c r="A11" s="42"/>
      <c r="B11" s="42"/>
      <c r="H11" s="42"/>
      <c r="I11" s="42"/>
      <c r="J11" s="13"/>
      <c r="K11" s="13"/>
    </row>
    <row r="12" spans="1:11" ht="17.5" thickBot="1">
      <c r="A12" s="35"/>
      <c r="B12" s="35"/>
      <c r="C12" s="155"/>
      <c r="D12" s="155"/>
      <c r="E12" s="155"/>
      <c r="F12" s="155"/>
      <c r="G12" s="155"/>
      <c r="H12" s="35"/>
      <c r="I12" s="35"/>
      <c r="J12" s="30"/>
      <c r="K12" s="13"/>
    </row>
    <row r="13" spans="1:11" ht="11.25" customHeight="1" thickBot="1">
      <c r="A13" s="35" t="s">
        <v>24</v>
      </c>
      <c r="B13" s="35" t="s">
        <v>123</v>
      </c>
      <c r="C13" s="35" t="s">
        <v>124</v>
      </c>
      <c r="D13" s="43" t="s">
        <v>125</v>
      </c>
      <c r="E13" s="35" t="s">
        <v>126</v>
      </c>
      <c r="F13" s="35" t="s">
        <v>127</v>
      </c>
      <c r="G13" s="35" t="s">
        <v>128</v>
      </c>
      <c r="H13" s="35" t="s">
        <v>129</v>
      </c>
      <c r="I13" s="35" t="s">
        <v>130</v>
      </c>
      <c r="J13" s="35" t="s">
        <v>131</v>
      </c>
      <c r="K13" s="13"/>
    </row>
    <row r="14" spans="1:11" ht="17">
      <c r="A14" s="36" t="s">
        <v>0</v>
      </c>
      <c r="B14" s="36" t="s">
        <v>3</v>
      </c>
      <c r="C14" s="36" t="s">
        <v>118</v>
      </c>
      <c r="D14" s="36" t="s">
        <v>151</v>
      </c>
      <c r="E14" s="36" t="s">
        <v>152</v>
      </c>
      <c r="F14" s="36" t="s">
        <v>151</v>
      </c>
      <c r="G14" s="36" t="s">
        <v>152</v>
      </c>
      <c r="H14" s="36" t="s">
        <v>19</v>
      </c>
      <c r="I14" s="36" t="s">
        <v>153</v>
      </c>
      <c r="J14" s="36" t="s">
        <v>165</v>
      </c>
      <c r="K14" s="13"/>
    </row>
    <row r="15" spans="1:11" ht="17.5" thickBot="1">
      <c r="A15" s="38" t="s">
        <v>2</v>
      </c>
      <c r="B15" s="38" t="s">
        <v>4</v>
      </c>
      <c r="C15" s="38" t="s">
        <v>150</v>
      </c>
      <c r="D15" s="38" t="s">
        <v>117</v>
      </c>
      <c r="E15" s="38" t="s">
        <v>117</v>
      </c>
      <c r="F15" s="38" t="s">
        <v>118</v>
      </c>
      <c r="G15" s="38" t="s">
        <v>118</v>
      </c>
      <c r="H15" s="38" t="s">
        <v>151</v>
      </c>
      <c r="I15" s="38" t="s">
        <v>154</v>
      </c>
      <c r="J15" s="38" t="s">
        <v>164</v>
      </c>
      <c r="K15" s="13"/>
    </row>
    <row r="16" spans="1:11" ht="17">
      <c r="A16" s="44" t="s">
        <v>7</v>
      </c>
      <c r="B16" s="44" t="s">
        <v>7</v>
      </c>
      <c r="C16" s="44" t="s">
        <v>167</v>
      </c>
      <c r="D16" s="44" t="s">
        <v>167</v>
      </c>
      <c r="E16" s="44" t="s">
        <v>167</v>
      </c>
      <c r="F16" s="44" t="s">
        <v>167</v>
      </c>
      <c r="G16" s="44" t="s">
        <v>167</v>
      </c>
      <c r="H16" s="44" t="s">
        <v>156</v>
      </c>
      <c r="I16" s="44" t="s">
        <v>155</v>
      </c>
      <c r="J16" s="44" t="s">
        <v>133</v>
      </c>
      <c r="K16" s="13"/>
    </row>
    <row r="17" spans="1:11" ht="17">
      <c r="A17" s="36"/>
      <c r="B17" s="36"/>
      <c r="C17" s="36"/>
      <c r="D17" s="36"/>
      <c r="E17" s="36"/>
      <c r="F17" s="36"/>
      <c r="G17" s="36"/>
      <c r="H17" s="36"/>
      <c r="I17" s="36"/>
      <c r="J17" s="36"/>
      <c r="K17" s="13"/>
    </row>
    <row r="18" spans="1:11" ht="17">
      <c r="A18" s="13"/>
      <c r="B18" s="13"/>
      <c r="C18" s="13"/>
      <c r="D18" s="13"/>
      <c r="E18" s="13"/>
      <c r="F18" s="13"/>
      <c r="G18" s="13"/>
      <c r="H18" s="13"/>
      <c r="I18" s="13"/>
      <c r="J18" s="13"/>
      <c r="K18" s="13"/>
    </row>
    <row r="19" spans="1:11" ht="17.5">
      <c r="A19" s="65" t="str">
        <f>+'S&amp;D'!A22</f>
        <v>ALLETE Inc</v>
      </c>
      <c r="B19" s="93" t="str">
        <f>+'S&amp;D'!B22</f>
        <v>ALE</v>
      </c>
      <c r="C19" s="329">
        <v>80800000</v>
      </c>
      <c r="D19" s="137">
        <v>1775029889.5858173</v>
      </c>
      <c r="E19" s="137">
        <v>1920800000</v>
      </c>
      <c r="F19" s="137">
        <f>+'S&amp;D'!G47</f>
        <v>1663079793.2644215</v>
      </c>
      <c r="G19" s="137">
        <f>+'S&amp;D'!J22</f>
        <v>1791300000.0000002</v>
      </c>
      <c r="H19" s="191">
        <f>(D19+F19)/2</f>
        <v>1719054841.4251194</v>
      </c>
      <c r="I19" s="68">
        <f>C19/H19</f>
        <v>4.7002572607291411E-2</v>
      </c>
      <c r="J19" s="47">
        <f>F19/G19</f>
        <v>0.92842058463932409</v>
      </c>
      <c r="K19" s="13"/>
    </row>
    <row r="20" spans="1:11" ht="17.5">
      <c r="A20" s="65" t="str">
        <f>+'S&amp;D'!A23</f>
        <v>Alliant Energy</v>
      </c>
      <c r="B20" s="93" t="str">
        <f>+'S&amp;D'!B23</f>
        <v>LNT</v>
      </c>
      <c r="C20" s="329">
        <v>394000000</v>
      </c>
      <c r="D20" s="137">
        <v>7368000000</v>
      </c>
      <c r="E20" s="137">
        <v>8076000000</v>
      </c>
      <c r="F20" s="137">
        <f>+'S&amp;D'!G48</f>
        <v>8076000000</v>
      </c>
      <c r="G20" s="137">
        <f>+'S&amp;D'!J23</f>
        <v>9034000000</v>
      </c>
      <c r="H20" s="191">
        <f t="shared" ref="H20:H34" si="0">(D20+F20)/2</f>
        <v>7722000000</v>
      </c>
      <c r="I20" s="68">
        <f t="shared" ref="I20:I34" si="1">C20/H20</f>
        <v>5.1023051023051026E-2</v>
      </c>
      <c r="J20" s="47">
        <f t="shared" ref="J20:J34" si="2">F20/G20</f>
        <v>0.89395616559663493</v>
      </c>
      <c r="K20" s="13"/>
    </row>
    <row r="21" spans="1:11" ht="17.5">
      <c r="A21" s="65" t="str">
        <f>+'S&amp;D'!A24</f>
        <v>AMEREN Corporation</v>
      </c>
      <c r="B21" s="93" t="str">
        <f>+'S&amp;D'!B24</f>
        <v>AEE</v>
      </c>
      <c r="C21" s="329">
        <v>566000000</v>
      </c>
      <c r="D21" s="137">
        <v>12453000000</v>
      </c>
      <c r="E21" s="137">
        <v>14025000000</v>
      </c>
      <c r="F21" s="137">
        <f>+'S&amp;D'!G49</f>
        <v>14833000000</v>
      </c>
      <c r="G21" s="137">
        <f>+'S&amp;D'!J24</f>
        <v>15970000000</v>
      </c>
      <c r="H21" s="191">
        <f t="shared" si="0"/>
        <v>13643000000</v>
      </c>
      <c r="I21" s="68">
        <f t="shared" si="1"/>
        <v>4.1486476581397057E-2</v>
      </c>
      <c r="J21" s="47">
        <f t="shared" si="2"/>
        <v>0.92880400751408887</v>
      </c>
      <c r="K21" s="13"/>
    </row>
    <row r="22" spans="1:11" ht="17.5">
      <c r="A22" s="65" t="str">
        <f>+'S&amp;D'!A25</f>
        <v>American Electric Power</v>
      </c>
      <c r="B22" s="93" t="str">
        <f>+'S&amp;D'!B25</f>
        <v>AEP</v>
      </c>
      <c r="C22" s="329">
        <v>1806900000</v>
      </c>
      <c r="D22" s="137">
        <v>31767100000</v>
      </c>
      <c r="E22" s="137">
        <v>35622600000</v>
      </c>
      <c r="F22" s="137">
        <f>+'S&amp;D'!G50</f>
        <v>37325700000</v>
      </c>
      <c r="G22" s="137">
        <f>+'S&amp;D'!J25</f>
        <v>40143200000</v>
      </c>
      <c r="H22" s="191">
        <f t="shared" si="0"/>
        <v>34546400000</v>
      </c>
      <c r="I22" s="68">
        <f t="shared" si="1"/>
        <v>5.2303568533913811E-2</v>
      </c>
      <c r="J22" s="47">
        <f t="shared" si="2"/>
        <v>0.9298137667151597</v>
      </c>
      <c r="K22" s="13"/>
    </row>
    <row r="23" spans="1:11" ht="17.5">
      <c r="A23" s="65" t="str">
        <f>+'S&amp;D'!A26</f>
        <v>Centerpoint Energy</v>
      </c>
      <c r="B23" s="93" t="str">
        <f>+'S&amp;D'!B26</f>
        <v>CNP</v>
      </c>
      <c r="C23" s="329">
        <f>684000000+17000000</f>
        <v>701000000</v>
      </c>
      <c r="D23" s="137">
        <v>14990000000</v>
      </c>
      <c r="E23" s="137">
        <v>16338000000</v>
      </c>
      <c r="F23" s="137">
        <f>+'S&amp;D'!G51</f>
        <v>17804000000</v>
      </c>
      <c r="G23" s="137">
        <f>+'S&amp;D'!J26</f>
        <v>18609000000</v>
      </c>
      <c r="H23" s="191">
        <f t="shared" si="0"/>
        <v>16397000000</v>
      </c>
      <c r="I23" s="68">
        <f t="shared" si="1"/>
        <v>4.2751722876135878E-2</v>
      </c>
      <c r="J23" s="47">
        <f t="shared" si="2"/>
        <v>0.9567413617067011</v>
      </c>
      <c r="K23" s="13"/>
    </row>
    <row r="24" spans="1:11" ht="17.5">
      <c r="A24" s="65" t="str">
        <f>+'S&amp;D'!A27</f>
        <v>CMS Energy</v>
      </c>
      <c r="B24" s="93" t="str">
        <f>+'S&amp;D'!B27</f>
        <v>CMS</v>
      </c>
      <c r="C24" s="329">
        <v>643000000</v>
      </c>
      <c r="D24" s="137">
        <v>12451095975.232199</v>
      </c>
      <c r="E24" s="137">
        <v>14289000000</v>
      </c>
      <c r="F24" s="137">
        <f>+'S&amp;D'!G52</f>
        <v>14366902409.093845</v>
      </c>
      <c r="G24" s="137">
        <f>+'S&amp;D'!J27</f>
        <v>15550000000</v>
      </c>
      <c r="H24" s="191">
        <f t="shared" si="0"/>
        <v>13408999192.163021</v>
      </c>
      <c r="I24" s="68">
        <f t="shared" si="1"/>
        <v>4.7952870366030423E-2</v>
      </c>
      <c r="J24" s="47">
        <f t="shared" si="2"/>
        <v>0.92391655363947556</v>
      </c>
      <c r="K24" s="13"/>
    </row>
    <row r="25" spans="1:11" ht="17.5">
      <c r="A25" s="65" t="str">
        <f>+'S&amp;D'!A28</f>
        <v>DTE Energy</v>
      </c>
      <c r="B25" s="93" t="str">
        <f>+'S&amp;D'!B28</f>
        <v>DTE</v>
      </c>
      <c r="C25" s="329">
        <v>791000000</v>
      </c>
      <c r="D25" s="137">
        <v>17273235899.43264</v>
      </c>
      <c r="E25" s="137">
        <v>17997000000</v>
      </c>
      <c r="F25" s="137">
        <f>+'S&amp;D'!G53</f>
        <v>19701113782.871174</v>
      </c>
      <c r="G25" s="137">
        <f>+'S&amp;D'!J28</f>
        <v>19562000000</v>
      </c>
      <c r="H25" s="191">
        <f t="shared" si="0"/>
        <v>18487174841.151909</v>
      </c>
      <c r="I25" s="68">
        <f t="shared" si="1"/>
        <v>4.2786418519678689E-2</v>
      </c>
      <c r="J25" s="47">
        <f t="shared" si="2"/>
        <v>1.0071114294484804</v>
      </c>
      <c r="K25" s="13"/>
    </row>
    <row r="26" spans="1:11" ht="17.5">
      <c r="A26" s="65" t="str">
        <f>+'S&amp;D'!A29</f>
        <v>Duke Energy</v>
      </c>
      <c r="B26" s="93" t="str">
        <f>+'S&amp;D'!B29</f>
        <v>DUK</v>
      </c>
      <c r="C26" s="329">
        <v>3014000000</v>
      </c>
      <c r="D26" s="137">
        <v>63454000000</v>
      </c>
      <c r="E26" s="137">
        <v>71215000000</v>
      </c>
      <c r="F26" s="137">
        <f>+'S&amp;D'!G54</f>
        <v>69790000000</v>
      </c>
      <c r="G26" s="137">
        <f>+'S&amp;D'!J29</f>
        <v>75252000000</v>
      </c>
      <c r="H26" s="191">
        <f t="shared" si="0"/>
        <v>66622000000</v>
      </c>
      <c r="I26" s="68">
        <f t="shared" si="1"/>
        <v>4.5240311008375611E-2</v>
      </c>
      <c r="J26" s="47">
        <f t="shared" si="2"/>
        <v>0.9274172115026843</v>
      </c>
      <c r="K26" s="13"/>
    </row>
    <row r="27" spans="1:11" ht="17.5">
      <c r="A27" s="65" t="str">
        <f>+'S&amp;D'!A30</f>
        <v>Entergy Corp</v>
      </c>
      <c r="B27" s="93" t="str">
        <f>+'S&amp;D'!B30</f>
        <v>ETR</v>
      </c>
      <c r="C27" s="329">
        <v>1046164000</v>
      </c>
      <c r="D27" s="137">
        <v>24780275435.782497</v>
      </c>
      <c r="E27" s="137">
        <v>25932549000</v>
      </c>
      <c r="F27" s="137">
        <f>+'S&amp;D'!G55</f>
        <v>24540822851.509544</v>
      </c>
      <c r="G27" s="137">
        <f>+'S&amp;D'!J30</f>
        <v>25107896000</v>
      </c>
      <c r="H27" s="191">
        <f t="shared" si="0"/>
        <v>24660549143.646019</v>
      </c>
      <c r="I27" s="68">
        <f t="shared" si="1"/>
        <v>4.2422575178929146E-2</v>
      </c>
      <c r="J27" s="47">
        <f t="shared" si="2"/>
        <v>0.97741454925213744</v>
      </c>
      <c r="K27" s="13"/>
    </row>
    <row r="28" spans="1:11" ht="17.5">
      <c r="A28" s="65" t="str">
        <f>+'S&amp;D'!A31</f>
        <v>Evergy Inc</v>
      </c>
      <c r="B28" s="93" t="str">
        <f>+'S&amp;D'!B31</f>
        <v>EVRG</v>
      </c>
      <c r="C28" s="329">
        <v>525800000</v>
      </c>
      <c r="D28" s="137">
        <v>9160000000.0000019</v>
      </c>
      <c r="E28" s="137">
        <v>10344800000</v>
      </c>
      <c r="F28" s="137">
        <f>+'S&amp;D'!G56</f>
        <v>11044900000</v>
      </c>
      <c r="G28" s="137">
        <f>+'S&amp;D'!J31</f>
        <v>11853300000</v>
      </c>
      <c r="H28" s="191">
        <f t="shared" ref="H28" si="3">(D28+F28)/2</f>
        <v>10102450000</v>
      </c>
      <c r="I28" s="68">
        <f t="shared" ref="I28" si="4">C28/H28</f>
        <v>5.2046780731406735E-2</v>
      </c>
      <c r="J28" s="47">
        <f t="shared" ref="J28" si="5">F28/G28</f>
        <v>0.93179958323842305</v>
      </c>
      <c r="K28" s="13"/>
    </row>
    <row r="29" spans="1:11" ht="17.5">
      <c r="A29" s="65" t="str">
        <f>+'S&amp;D'!A32</f>
        <v>FirstEnergy Corp</v>
      </c>
      <c r="B29" s="93" t="str">
        <f>+'S&amp;D'!B32</f>
        <v>FE</v>
      </c>
      <c r="C29" s="329">
        <v>1124000000</v>
      </c>
      <c r="D29" s="137">
        <v>19704465412.873714</v>
      </c>
      <c r="E29" s="137">
        <v>21554000000</v>
      </c>
      <c r="F29" s="137">
        <f>+'S&amp;D'!G57</f>
        <v>22890137915.395397</v>
      </c>
      <c r="G29" s="137">
        <f>+'S&amp;D'!J32</f>
        <v>24135000000</v>
      </c>
      <c r="H29" s="191">
        <f t="shared" si="0"/>
        <v>21297301664.134556</v>
      </c>
      <c r="I29" s="68">
        <f t="shared" si="1"/>
        <v>5.2776638924773162E-2</v>
      </c>
      <c r="J29" s="47">
        <f t="shared" si="2"/>
        <v>0.94842087903026295</v>
      </c>
      <c r="K29" s="13"/>
    </row>
    <row r="30" spans="1:11" ht="17.5">
      <c r="A30" s="65" t="str">
        <f>+'S&amp;D'!A33</f>
        <v>OGE Energy Corp.</v>
      </c>
      <c r="B30" s="93" t="str">
        <f>+'S&amp;D'!B33</f>
        <v>OGE</v>
      </c>
      <c r="C30" s="329">
        <v>221400000</v>
      </c>
      <c r="D30" s="137">
        <v>4161000000.0000005</v>
      </c>
      <c r="E30" s="137">
        <v>4548600000</v>
      </c>
      <c r="F30" s="137">
        <f>+'S&amp;D'!G58</f>
        <v>4114800000</v>
      </c>
      <c r="G30" s="137">
        <f>+'S&amp;D'!J33</f>
        <v>4340500000</v>
      </c>
      <c r="H30" s="191">
        <f t="shared" si="0"/>
        <v>4137900000</v>
      </c>
      <c r="I30" s="68">
        <f t="shared" si="1"/>
        <v>5.350540129050968E-2</v>
      </c>
      <c r="J30" s="47">
        <f t="shared" si="2"/>
        <v>0.94800138232922471</v>
      </c>
      <c r="K30" s="13"/>
    </row>
    <row r="31" spans="1:11" ht="17.5">
      <c r="A31" s="65" t="str">
        <f>+'S&amp;D'!A34</f>
        <v>Otter Tail Corp</v>
      </c>
      <c r="B31" s="93" t="str">
        <f>+'S&amp;D'!B34</f>
        <v>OTTR</v>
      </c>
      <c r="C31" s="329">
        <v>37677000</v>
      </c>
      <c r="D31" s="137">
        <v>689819000</v>
      </c>
      <c r="E31" s="137">
        <v>823821000</v>
      </c>
      <c r="F31" s="137">
        <f>+'S&amp;D'!G59</f>
        <v>792261000</v>
      </c>
      <c r="G31" s="137">
        <f>+'S&amp;D'!J34</f>
        <v>905481000</v>
      </c>
      <c r="H31" s="191">
        <f t="shared" si="0"/>
        <v>741040000</v>
      </c>
      <c r="I31" s="68">
        <f t="shared" si="1"/>
        <v>5.0843409262657888E-2</v>
      </c>
      <c r="J31" s="47">
        <f t="shared" si="2"/>
        <v>0.87496148455903544</v>
      </c>
      <c r="K31" s="13"/>
    </row>
    <row r="32" spans="1:11" ht="17.5">
      <c r="A32" s="65" t="str">
        <f>+'S&amp;D'!A35</f>
        <v>PPL Corporation</v>
      </c>
      <c r="B32" s="93" t="str">
        <f>+'S&amp;D'!B35</f>
        <v>PPL</v>
      </c>
      <c r="C32" s="329">
        <v>666000000</v>
      </c>
      <c r="D32" s="137">
        <v>12239000000</v>
      </c>
      <c r="E32" s="137">
        <v>13243000000</v>
      </c>
      <c r="F32" s="137">
        <f>+'S&amp;D'!G60</f>
        <v>14031000000</v>
      </c>
      <c r="G32" s="137">
        <f>+'S&amp;D'!J35</f>
        <v>14612000000</v>
      </c>
      <c r="H32" s="191">
        <f t="shared" si="0"/>
        <v>13135000000</v>
      </c>
      <c r="I32" s="68">
        <f t="shared" si="1"/>
        <v>5.0704225352112678E-2</v>
      </c>
      <c r="J32" s="47">
        <f t="shared" si="2"/>
        <v>0.96023816041609633</v>
      </c>
      <c r="K32" s="13"/>
    </row>
    <row r="33" spans="1:11" ht="17.5">
      <c r="A33" s="65" t="str">
        <f>+'S&amp;D'!A36</f>
        <v>The Southern Company</v>
      </c>
      <c r="B33" s="93" t="str">
        <f>+'S&amp;D'!B36</f>
        <v>SO</v>
      </c>
      <c r="C33" s="329">
        <v>2446000000</v>
      </c>
      <c r="D33" s="137">
        <v>48903527472.527473</v>
      </c>
      <c r="E33" s="137">
        <v>54941000000</v>
      </c>
      <c r="F33" s="137">
        <f>+'S&amp;D'!G61</f>
        <v>55264814814.814812</v>
      </c>
      <c r="G33" s="137">
        <f>+'S&amp;D'!J36</f>
        <v>59686000000</v>
      </c>
      <c r="H33" s="191">
        <f t="shared" si="0"/>
        <v>52084171143.671143</v>
      </c>
      <c r="I33" s="68">
        <f t="shared" si="1"/>
        <v>4.6962444564066341E-2</v>
      </c>
      <c r="J33" s="47">
        <f t="shared" si="2"/>
        <v>0.92592592592592582</v>
      </c>
      <c r="K33" s="13"/>
    </row>
    <row r="34" spans="1:11" ht="17.5">
      <c r="A34" s="65" t="str">
        <f>+'S&amp;D'!A37</f>
        <v>WEC Energy Group</v>
      </c>
      <c r="B34" s="93" t="str">
        <f>+'S&amp;D'!B37</f>
        <v>WEC</v>
      </c>
      <c r="C34" s="329">
        <v>726900000</v>
      </c>
      <c r="D34" s="137">
        <v>14104500000</v>
      </c>
      <c r="E34" s="137">
        <v>15647400000</v>
      </c>
      <c r="F34" s="137">
        <f>+'S&amp;D'!G62</f>
        <v>15710200000</v>
      </c>
      <c r="G34" s="137">
        <f>+'S&amp;D'!J37</f>
        <v>16631100000</v>
      </c>
      <c r="H34" s="191">
        <f t="shared" si="0"/>
        <v>14907350000</v>
      </c>
      <c r="I34" s="68">
        <f t="shared" si="1"/>
        <v>4.876118156479857E-2</v>
      </c>
      <c r="J34" s="47">
        <f t="shared" si="2"/>
        <v>0.94462783580160059</v>
      </c>
      <c r="K34" s="13"/>
    </row>
    <row r="35" spans="1:11" ht="17.5" thickBot="1">
      <c r="A35" s="13"/>
      <c r="B35" s="13"/>
      <c r="C35" s="48"/>
      <c r="D35" s="48"/>
      <c r="E35" s="48"/>
      <c r="F35" s="48"/>
      <c r="G35" s="48" t="s">
        <v>64</v>
      </c>
      <c r="H35" s="48"/>
      <c r="I35" s="48" t="s">
        <v>64</v>
      </c>
      <c r="J35" s="48"/>
      <c r="K35" s="13"/>
    </row>
    <row r="36" spans="1:11" ht="17.5" thickTop="1">
      <c r="A36" s="13"/>
      <c r="B36" s="13"/>
      <c r="C36" s="49" t="s">
        <v>0</v>
      </c>
      <c r="D36" s="49" t="s">
        <v>0</v>
      </c>
      <c r="E36" s="36" t="s">
        <v>0</v>
      </c>
      <c r="F36" s="36"/>
      <c r="G36" s="49" t="s">
        <v>0</v>
      </c>
      <c r="H36" s="15" t="s">
        <v>65</v>
      </c>
      <c r="I36" s="55">
        <f>MAX(I19:I34)</f>
        <v>5.350540129050968E-2</v>
      </c>
      <c r="J36" s="330">
        <f>MAX(J19:J34)</f>
        <v>1.0071114294484804</v>
      </c>
      <c r="K36" s="13"/>
    </row>
    <row r="37" spans="1:11" ht="17">
      <c r="A37" s="192" t="s">
        <v>106</v>
      </c>
      <c r="B37" s="13"/>
      <c r="C37" s="49"/>
      <c r="D37" s="49"/>
      <c r="E37" s="36"/>
      <c r="F37" s="36"/>
      <c r="G37" s="49"/>
      <c r="H37" s="15" t="s">
        <v>66</v>
      </c>
      <c r="I37" s="55">
        <f>MIN(I19:I34)</f>
        <v>4.1486476581397057E-2</v>
      </c>
      <c r="J37" s="330">
        <f>MIN(J19:J34)</f>
        <v>0.87496148455903544</v>
      </c>
      <c r="K37" s="13"/>
    </row>
    <row r="38" spans="1:11" ht="17">
      <c r="A38" s="193" t="s">
        <v>306</v>
      </c>
      <c r="B38" s="13"/>
      <c r="C38" s="13"/>
      <c r="D38" s="13"/>
      <c r="E38" s="13"/>
      <c r="F38" s="13"/>
      <c r="G38" s="13"/>
      <c r="H38" s="15" t="s">
        <v>18</v>
      </c>
      <c r="I38" s="58">
        <f>MEDIAN(I19:I34)</f>
        <v>4.8357025965414496E-2</v>
      </c>
      <c r="J38" s="50">
        <f>MEDIAN(J19:J34)</f>
        <v>0.93080667497679137</v>
      </c>
      <c r="K38" s="13"/>
    </row>
    <row r="39" spans="1:11" ht="17">
      <c r="A39" s="193" t="s">
        <v>272</v>
      </c>
      <c r="B39" s="13"/>
      <c r="C39" s="13"/>
      <c r="D39" s="13"/>
      <c r="E39" s="13"/>
      <c r="F39" s="13"/>
      <c r="G39" s="13"/>
      <c r="H39" s="15" t="s">
        <v>441</v>
      </c>
      <c r="I39" s="58">
        <f>AVERAGE(I19:I34)</f>
        <v>4.8035603024070506E-2</v>
      </c>
      <c r="J39" s="50">
        <f>AVERAGE(J19:J34)</f>
        <v>0.93797318008220332</v>
      </c>
      <c r="K39" s="13"/>
    </row>
    <row r="40" spans="1:11" ht="17.5" thickBot="1">
      <c r="A40" s="13"/>
      <c r="B40" s="13"/>
      <c r="C40" s="13"/>
      <c r="D40" s="13"/>
      <c r="E40" s="13"/>
      <c r="F40" s="13"/>
      <c r="G40" s="13"/>
      <c r="H40" s="13"/>
      <c r="I40" s="13"/>
      <c r="J40" s="14"/>
      <c r="K40" s="13"/>
    </row>
    <row r="41" spans="1:11" ht="26" thickBot="1">
      <c r="A41" s="13"/>
      <c r="B41" s="13"/>
      <c r="C41" s="13"/>
      <c r="D41" s="13"/>
      <c r="E41" s="13"/>
      <c r="F41" s="13"/>
      <c r="G41" s="198"/>
      <c r="H41" s="199" t="s">
        <v>278</v>
      </c>
      <c r="I41" s="379">
        <v>4.8000000000000001E-2</v>
      </c>
      <c r="J41" s="396">
        <v>9.3799999999999994E-3</v>
      </c>
      <c r="K41" s="13"/>
    </row>
    <row r="42" spans="1:11" ht="17">
      <c r="A42" s="13"/>
      <c r="B42" s="13"/>
      <c r="C42" s="13"/>
      <c r="D42" s="13"/>
      <c r="E42" s="13"/>
      <c r="F42" s="13"/>
      <c r="G42" s="13"/>
      <c r="H42" s="13"/>
      <c r="I42" s="13"/>
      <c r="J42" s="13"/>
      <c r="K42" s="13"/>
    </row>
    <row r="43" spans="1:11" ht="17">
      <c r="A43" s="13"/>
      <c r="B43" s="13"/>
      <c r="C43" s="13"/>
      <c r="D43" s="13"/>
      <c r="E43" s="13"/>
      <c r="F43" s="13"/>
      <c r="G43" s="13"/>
      <c r="H43" s="13"/>
      <c r="I43" s="13"/>
      <c r="J43" s="13"/>
      <c r="K43" s="13"/>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68"/>
  <sheetViews>
    <sheetView tabSelected="1" view="pageBreakPreview" topLeftCell="A21" zoomScale="60" zoomScaleNormal="80" workbookViewId="0">
      <selection activeCell="J42" sqref="J42"/>
    </sheetView>
  </sheetViews>
  <sheetFormatPr defaultRowHeight="14.5"/>
  <cols>
    <col min="1" max="1" width="41.1796875" customWidth="1"/>
    <col min="2" max="2" width="10.81640625" bestFit="1" customWidth="1"/>
    <col min="3" max="3" width="27.1796875" customWidth="1"/>
    <col min="4" max="4" width="19.7265625" customWidth="1"/>
    <col min="5" max="5" width="21.81640625" customWidth="1"/>
    <col min="6" max="6" width="18" customWidth="1"/>
    <col min="7" max="7" width="12.26953125" customWidth="1"/>
    <col min="8" max="8" width="20.54296875" customWidth="1"/>
    <col min="9" max="9" width="12.453125" customWidth="1"/>
    <col min="10" max="11" width="20.54296875" customWidth="1"/>
    <col min="12" max="12" width="26.54296875" customWidth="1"/>
    <col min="13" max="13" width="6.54296875" customWidth="1"/>
  </cols>
  <sheetData>
    <row r="1" spans="1:13" ht="25.5">
      <c r="A1" s="25" t="s">
        <v>1</v>
      </c>
      <c r="B1" s="13"/>
      <c r="C1" s="13"/>
      <c r="D1" s="13"/>
      <c r="E1" s="13"/>
      <c r="F1" s="13"/>
      <c r="G1" s="13"/>
      <c r="H1" s="13"/>
      <c r="I1" s="13"/>
      <c r="J1" s="13"/>
      <c r="K1" s="13"/>
      <c r="L1" s="13"/>
      <c r="M1" s="13"/>
    </row>
    <row r="2" spans="1:13" ht="17.5">
      <c r="A2" s="26" t="s">
        <v>9</v>
      </c>
      <c r="B2" s="13"/>
      <c r="C2" s="13"/>
      <c r="D2" s="13"/>
      <c r="E2" s="13"/>
      <c r="F2" s="13"/>
      <c r="G2" s="13"/>
      <c r="H2" s="13"/>
      <c r="I2" s="13"/>
      <c r="J2" s="13"/>
      <c r="K2" s="13"/>
      <c r="L2" s="13"/>
      <c r="M2" s="13"/>
    </row>
    <row r="3" spans="1:13" ht="17">
      <c r="A3" s="27" t="s">
        <v>483</v>
      </c>
      <c r="B3" s="13"/>
      <c r="C3" s="13"/>
      <c r="D3" s="13"/>
      <c r="E3" s="13"/>
      <c r="F3" s="13"/>
      <c r="G3" s="13"/>
      <c r="H3" s="13"/>
      <c r="I3" s="13"/>
      <c r="J3" s="13"/>
      <c r="K3" s="13"/>
      <c r="L3" s="13"/>
      <c r="M3" s="13"/>
    </row>
    <row r="4" spans="1:13" ht="17">
      <c r="A4" s="27"/>
      <c r="B4" s="13"/>
      <c r="C4" s="13"/>
      <c r="D4" s="13"/>
      <c r="E4" s="13"/>
      <c r="F4" s="13"/>
      <c r="G4" s="13"/>
      <c r="H4" s="13"/>
      <c r="I4" s="13"/>
      <c r="J4" s="13"/>
      <c r="K4" s="13"/>
      <c r="L4" s="13"/>
      <c r="M4" s="13"/>
    </row>
    <row r="5" spans="1:13" ht="17.5" thickBot="1">
      <c r="A5" s="13"/>
      <c r="B5" s="13"/>
      <c r="C5" s="13"/>
      <c r="D5" s="13"/>
      <c r="E5" s="13"/>
      <c r="F5" s="13"/>
      <c r="G5" s="28"/>
      <c r="H5" s="28"/>
      <c r="I5" s="13"/>
      <c r="J5" s="13"/>
      <c r="K5" s="13"/>
      <c r="L5" s="13"/>
      <c r="M5" s="13"/>
    </row>
    <row r="6" spans="1:13" ht="21.5" thickBot="1">
      <c r="A6" s="275" t="str">
        <f>+'S&amp;D'!A12</f>
        <v>Electric Utilities</v>
      </c>
      <c r="B6" s="203"/>
      <c r="C6" s="13"/>
      <c r="D6" s="30"/>
      <c r="E6" s="30"/>
      <c r="F6" s="31" t="s">
        <v>0</v>
      </c>
      <c r="G6" s="13"/>
      <c r="H6" s="13"/>
      <c r="I6" s="13"/>
      <c r="J6" s="13"/>
      <c r="K6" s="13"/>
      <c r="L6" s="13"/>
      <c r="M6" s="13"/>
    </row>
    <row r="7" spans="1:13" ht="25.5">
      <c r="A7" s="32"/>
      <c r="B7" s="13"/>
      <c r="C7" s="13"/>
      <c r="D7" s="13"/>
      <c r="E7" s="33" t="s">
        <v>163</v>
      </c>
      <c r="F7" s="13"/>
      <c r="G7" s="13"/>
      <c r="H7" s="13"/>
      <c r="I7" s="13"/>
      <c r="J7" s="13"/>
      <c r="K7" s="13"/>
      <c r="L7" s="13"/>
      <c r="M7" s="13"/>
    </row>
    <row r="8" spans="1:13" ht="21.5" thickBot="1">
      <c r="A8" s="32"/>
      <c r="B8" s="13"/>
      <c r="C8" s="13"/>
      <c r="D8" s="30"/>
      <c r="E8" s="34" t="s">
        <v>484</v>
      </c>
      <c r="F8" s="30"/>
      <c r="G8" s="13"/>
      <c r="H8" s="13"/>
      <c r="I8" s="13"/>
      <c r="J8" s="13"/>
      <c r="K8" s="13"/>
      <c r="L8" s="13"/>
      <c r="M8" s="13"/>
    </row>
    <row r="9" spans="1:13" ht="17.5" thickBot="1">
      <c r="A9" s="35" t="s">
        <v>0</v>
      </c>
      <c r="B9" s="35" t="s">
        <v>0</v>
      </c>
      <c r="C9" s="35" t="s">
        <v>0</v>
      </c>
      <c r="D9" s="35" t="s">
        <v>0</v>
      </c>
      <c r="E9" s="35" t="s">
        <v>0</v>
      </c>
      <c r="F9" s="35" t="s">
        <v>0</v>
      </c>
      <c r="G9" s="35"/>
      <c r="H9" s="35"/>
      <c r="I9" s="35" t="s">
        <v>0</v>
      </c>
      <c r="J9" s="30"/>
      <c r="K9" s="13"/>
      <c r="L9" s="13"/>
      <c r="M9" s="13"/>
    </row>
    <row r="10" spans="1:13" ht="17">
      <c r="A10" s="36" t="s">
        <v>0</v>
      </c>
      <c r="B10" s="36" t="s">
        <v>3</v>
      </c>
      <c r="C10" s="36" t="s">
        <v>5</v>
      </c>
      <c r="D10" s="36" t="s">
        <v>21</v>
      </c>
      <c r="E10" s="36" t="s">
        <v>20</v>
      </c>
      <c r="F10" s="36" t="s">
        <v>82</v>
      </c>
      <c r="G10" s="36" t="s">
        <v>166</v>
      </c>
      <c r="H10" s="36" t="s">
        <v>76</v>
      </c>
      <c r="I10" s="36" t="s">
        <v>166</v>
      </c>
      <c r="J10" s="36" t="s">
        <v>76</v>
      </c>
      <c r="K10" s="13"/>
      <c r="L10" s="13"/>
      <c r="M10" s="13"/>
    </row>
    <row r="11" spans="1:13" ht="17.5" thickBot="1">
      <c r="A11" s="38" t="s">
        <v>2</v>
      </c>
      <c r="B11" s="38" t="s">
        <v>4</v>
      </c>
      <c r="C11" s="38" t="s">
        <v>6</v>
      </c>
      <c r="D11" s="38" t="s">
        <v>23</v>
      </c>
      <c r="E11" s="38" t="s">
        <v>22</v>
      </c>
      <c r="F11" s="38" t="s">
        <v>77</v>
      </c>
      <c r="G11" s="38" t="s">
        <v>77</v>
      </c>
      <c r="H11" s="38" t="s">
        <v>77</v>
      </c>
      <c r="I11" s="38" t="s">
        <v>77</v>
      </c>
      <c r="J11" s="38" t="s">
        <v>80</v>
      </c>
      <c r="K11" s="13"/>
      <c r="L11" s="13"/>
      <c r="M11" s="13"/>
    </row>
    <row r="12" spans="1:13" ht="17">
      <c r="A12" s="40" t="s">
        <v>7</v>
      </c>
      <c r="B12" s="40" t="s">
        <v>7</v>
      </c>
      <c r="C12" s="40" t="s">
        <v>7</v>
      </c>
      <c r="D12" s="40" t="s">
        <v>7</v>
      </c>
      <c r="E12" s="40" t="s">
        <v>7</v>
      </c>
      <c r="F12" s="40" t="s">
        <v>81</v>
      </c>
      <c r="G12" s="40"/>
      <c r="H12" s="40" t="s">
        <v>76</v>
      </c>
      <c r="I12" s="40"/>
      <c r="J12" s="40" t="s">
        <v>76</v>
      </c>
      <c r="K12" s="13"/>
      <c r="L12" s="13"/>
      <c r="M12" s="13"/>
    </row>
    <row r="13" spans="1:13" ht="17">
      <c r="A13" s="36"/>
      <c r="B13" s="36"/>
      <c r="C13" s="36"/>
      <c r="D13" s="36"/>
      <c r="E13" s="36"/>
      <c r="F13" s="36"/>
      <c r="G13" s="36"/>
      <c r="H13" s="36"/>
      <c r="I13" s="36"/>
      <c r="J13" s="36"/>
      <c r="K13" s="13"/>
      <c r="L13" s="13"/>
      <c r="M13" s="13"/>
    </row>
    <row r="14" spans="1:13" ht="17">
      <c r="A14" s="13"/>
      <c r="B14" s="13"/>
      <c r="C14" s="13"/>
      <c r="D14" s="13"/>
      <c r="E14" s="13"/>
      <c r="F14" s="13"/>
      <c r="G14" s="13"/>
      <c r="H14" s="13"/>
      <c r="I14" s="13"/>
      <c r="J14" s="13"/>
      <c r="K14" s="13"/>
      <c r="L14" s="13"/>
      <c r="M14" s="13"/>
    </row>
    <row r="15" spans="1:13" ht="17.5">
      <c r="A15" s="65" t="str">
        <f>+'S&amp;D'!A22</f>
        <v>ALLETE Inc</v>
      </c>
      <c r="B15" s="93" t="str">
        <f>+'S&amp;D'!B22</f>
        <v>ALE</v>
      </c>
      <c r="C15" s="93" t="str">
        <f>+'S&amp;D'!C22</f>
        <v>Electric Utility - Cent</v>
      </c>
      <c r="D15" s="352" t="str">
        <f>+'Beta for CAPM'!D18</f>
        <v>NA</v>
      </c>
      <c r="E15" s="36" t="str">
        <f>+'Beta for CAPM'!G18</f>
        <v>B++</v>
      </c>
      <c r="F15" s="36" t="s">
        <v>87</v>
      </c>
      <c r="G15" s="304">
        <v>11</v>
      </c>
      <c r="H15" s="64" t="s">
        <v>84</v>
      </c>
      <c r="I15" s="304">
        <v>10</v>
      </c>
      <c r="J15" s="68">
        <v>5.6800000000000003E-2</v>
      </c>
      <c r="K15" s="13" t="s">
        <v>0</v>
      </c>
      <c r="L15" s="13"/>
      <c r="M15" s="13"/>
    </row>
    <row r="16" spans="1:13" ht="17.5">
      <c r="A16" s="65" t="str">
        <f>+'S&amp;D'!A23</f>
        <v>Alliant Energy</v>
      </c>
      <c r="B16" s="93" t="str">
        <f>+'S&amp;D'!B23</f>
        <v>LNT</v>
      </c>
      <c r="C16" s="93" t="str">
        <f>+'S&amp;D'!C23</f>
        <v>Electric Utility - Cent</v>
      </c>
      <c r="D16" s="56">
        <f>+'Beta for CAPM'!D19</f>
        <v>0.02</v>
      </c>
      <c r="E16" s="36" t="str">
        <f>+'Beta for CAPM'!G19</f>
        <v>B++</v>
      </c>
      <c r="F16" s="36" t="s">
        <v>93</v>
      </c>
      <c r="G16" s="304">
        <v>11</v>
      </c>
      <c r="H16" s="64" t="s">
        <v>85</v>
      </c>
      <c r="I16" s="304">
        <v>11</v>
      </c>
      <c r="J16" s="68">
        <v>5.6800000000000003E-2</v>
      </c>
      <c r="K16" s="13" t="s">
        <v>0</v>
      </c>
      <c r="L16" s="13"/>
      <c r="M16" s="13"/>
    </row>
    <row r="17" spans="1:13" ht="17.5">
      <c r="A17" s="65" t="str">
        <f>+'S&amp;D'!A24</f>
        <v>AMEREN Corporation</v>
      </c>
      <c r="B17" s="93" t="str">
        <f>+'S&amp;D'!B24</f>
        <v>AEE</v>
      </c>
      <c r="C17" s="93" t="str">
        <f>+'S&amp;D'!C24</f>
        <v>Electric Utility - Cent</v>
      </c>
      <c r="D17" s="56">
        <f>+'Beta for CAPM'!D20</f>
        <v>0.12</v>
      </c>
      <c r="E17" s="36" t="str">
        <f>+'Beta for CAPM'!G20</f>
        <v>A</v>
      </c>
      <c r="F17" s="36" t="s">
        <v>86</v>
      </c>
      <c r="G17" s="304">
        <v>10</v>
      </c>
      <c r="H17" s="64" t="s">
        <v>84</v>
      </c>
      <c r="I17" s="304">
        <v>10</v>
      </c>
      <c r="J17" s="68">
        <v>5.6800000000000003E-2</v>
      </c>
      <c r="K17" s="13" t="s">
        <v>0</v>
      </c>
      <c r="L17" s="13"/>
      <c r="M17" s="13"/>
    </row>
    <row r="18" spans="1:13" ht="17.5">
      <c r="A18" s="65" t="str">
        <f>+'S&amp;D'!A25</f>
        <v>American Electric Power</v>
      </c>
      <c r="B18" s="93" t="str">
        <f>+'S&amp;D'!B25</f>
        <v>AEP</v>
      </c>
      <c r="C18" s="93" t="str">
        <f>+'S&amp;D'!C25</f>
        <v>Electric Utility - Cent</v>
      </c>
      <c r="D18" s="56">
        <f>+'Beta for CAPM'!D21</f>
        <v>0.21</v>
      </c>
      <c r="E18" s="36" t="str">
        <f>+'Beta for CAPM'!G21</f>
        <v>A+</v>
      </c>
      <c r="F18" s="36" t="s">
        <v>93</v>
      </c>
      <c r="G18" s="304">
        <v>9</v>
      </c>
      <c r="H18" s="64" t="s">
        <v>85</v>
      </c>
      <c r="I18" s="304">
        <v>11</v>
      </c>
      <c r="J18" s="68">
        <v>5.6800000000000003E-2</v>
      </c>
      <c r="K18" s="13" t="s">
        <v>0</v>
      </c>
      <c r="L18" s="13"/>
      <c r="M18" s="13"/>
    </row>
    <row r="19" spans="1:13" ht="17.5">
      <c r="A19" s="65" t="str">
        <f>+'S&amp;D'!A26</f>
        <v>Centerpoint Energy</v>
      </c>
      <c r="B19" s="93" t="str">
        <f>+'S&amp;D'!B26</f>
        <v>CNP</v>
      </c>
      <c r="C19" s="93" t="str">
        <f>+'S&amp;D'!C26</f>
        <v>Electric Utility - Cent</v>
      </c>
      <c r="D19" s="56">
        <f>+'Beta for CAPM'!D22</f>
        <v>0.16</v>
      </c>
      <c r="E19" s="36" t="str">
        <f>+'Beta for CAPM'!G22</f>
        <v>B++</v>
      </c>
      <c r="F19" s="36" t="s">
        <v>86</v>
      </c>
      <c r="G19" s="304">
        <v>10</v>
      </c>
      <c r="H19" s="64" t="s">
        <v>85</v>
      </c>
      <c r="I19" s="304">
        <v>11</v>
      </c>
      <c r="J19" s="68">
        <v>5.6800000000000003E-2</v>
      </c>
      <c r="K19" s="13" t="s">
        <v>0</v>
      </c>
      <c r="L19" s="13"/>
      <c r="M19" s="13"/>
    </row>
    <row r="20" spans="1:13" ht="17.5">
      <c r="A20" s="65" t="str">
        <f>+'S&amp;D'!A27</f>
        <v>CMS Energy</v>
      </c>
      <c r="B20" s="93" t="str">
        <f>+'S&amp;D'!B27</f>
        <v>CMS</v>
      </c>
      <c r="C20" s="93" t="str">
        <f>+'S&amp;D'!C27</f>
        <v>Electric Utility - Cent</v>
      </c>
      <c r="D20" s="56">
        <f>+'Beta for CAPM'!D23</f>
        <v>0.155</v>
      </c>
      <c r="E20" s="36" t="str">
        <f>+'Beta for CAPM'!G23</f>
        <v>A</v>
      </c>
      <c r="F20" s="36" t="s">
        <v>86</v>
      </c>
      <c r="G20" s="304">
        <v>10</v>
      </c>
      <c r="H20" s="64" t="s">
        <v>85</v>
      </c>
      <c r="I20" s="304">
        <v>11</v>
      </c>
      <c r="J20" s="68">
        <v>5.6800000000000003E-2</v>
      </c>
      <c r="K20" s="13" t="s">
        <v>0</v>
      </c>
      <c r="L20" s="13"/>
      <c r="M20" s="13"/>
    </row>
    <row r="21" spans="1:13" ht="17.5">
      <c r="A21" s="65" t="str">
        <f>+'S&amp;D'!A28</f>
        <v>DTE Energy</v>
      </c>
      <c r="B21" s="93" t="str">
        <f>+'S&amp;D'!B28</f>
        <v>DTE</v>
      </c>
      <c r="C21" s="93" t="str">
        <f>+'S&amp;D'!C28</f>
        <v>Electric Utility - Cent</v>
      </c>
      <c r="D21" s="56">
        <f>+'Beta for CAPM'!D24</f>
        <v>0.05</v>
      </c>
      <c r="E21" s="36" t="str">
        <f>+'Beta for CAPM'!G24</f>
        <v>B++</v>
      </c>
      <c r="F21" s="36" t="s">
        <v>86</v>
      </c>
      <c r="G21" s="304">
        <v>10</v>
      </c>
      <c r="H21" s="64" t="s">
        <v>85</v>
      </c>
      <c r="I21" s="304">
        <v>11</v>
      </c>
      <c r="J21" s="68">
        <v>5.6800000000000003E-2</v>
      </c>
      <c r="K21" s="13" t="s">
        <v>0</v>
      </c>
      <c r="L21" s="13"/>
      <c r="M21" s="13"/>
    </row>
    <row r="22" spans="1:13" ht="17.5">
      <c r="A22" s="65" t="str">
        <f>+'S&amp;D'!A29</f>
        <v>Duke Energy</v>
      </c>
      <c r="B22" s="93" t="str">
        <f>+'S&amp;D'!B29</f>
        <v>DUK</v>
      </c>
      <c r="C22" s="93" t="str">
        <f>+'S&amp;D'!C29</f>
        <v>Electric Utility - East</v>
      </c>
      <c r="D22" s="56">
        <f>+'Beta for CAPM'!D25</f>
        <v>0.09</v>
      </c>
      <c r="E22" s="36" t="str">
        <f>+'Beta for CAPM'!G25</f>
        <v>A</v>
      </c>
      <c r="F22" s="36" t="s">
        <v>86</v>
      </c>
      <c r="G22" s="304">
        <v>10</v>
      </c>
      <c r="H22" s="64" t="s">
        <v>85</v>
      </c>
      <c r="I22" s="304">
        <v>11</v>
      </c>
      <c r="J22" s="68">
        <v>5.6800000000000003E-2</v>
      </c>
      <c r="K22" s="14" t="s">
        <v>0</v>
      </c>
      <c r="L22" s="13"/>
      <c r="M22" s="13"/>
    </row>
    <row r="23" spans="1:13" ht="17.5">
      <c r="A23" s="65" t="str">
        <f>+'S&amp;D'!A30</f>
        <v>Entergy Corp</v>
      </c>
      <c r="B23" s="93" t="str">
        <f>+'S&amp;D'!B30</f>
        <v>ETR</v>
      </c>
      <c r="C23" s="93" t="str">
        <f>+'S&amp;D'!C30</f>
        <v>Electric Utility - Cent</v>
      </c>
      <c r="D23" s="56">
        <f>+'Beta for CAPM'!D26</f>
        <v>0.23</v>
      </c>
      <c r="E23" s="36" t="str">
        <f>+'Beta for CAPM'!G26</f>
        <v>B++</v>
      </c>
      <c r="F23" s="36" t="s">
        <v>86</v>
      </c>
      <c r="G23" s="304">
        <v>10</v>
      </c>
      <c r="H23" s="64" t="s">
        <v>85</v>
      </c>
      <c r="I23" s="304">
        <v>11</v>
      </c>
      <c r="J23" s="68">
        <v>5.6800000000000003E-2</v>
      </c>
      <c r="K23" s="13" t="s">
        <v>0</v>
      </c>
      <c r="L23" s="13"/>
      <c r="M23" s="13"/>
    </row>
    <row r="24" spans="1:13" ht="17.5">
      <c r="A24" s="65" t="str">
        <f>+'S&amp;D'!A31</f>
        <v>Evergy Inc</v>
      </c>
      <c r="B24" s="93" t="str">
        <f>+'S&amp;D'!B31</f>
        <v>EVRG</v>
      </c>
      <c r="C24" s="93" t="str">
        <f>+'S&amp;D'!C31</f>
        <v>Electric Utility - Cent</v>
      </c>
      <c r="D24" s="56">
        <f>+'Beta for CAPM'!D27</f>
        <v>0.09</v>
      </c>
      <c r="E24" s="36" t="s">
        <v>26</v>
      </c>
      <c r="F24" s="36" t="s">
        <v>93</v>
      </c>
      <c r="G24" s="304">
        <v>9</v>
      </c>
      <c r="H24" s="64" t="s">
        <v>85</v>
      </c>
      <c r="I24" s="304">
        <v>11</v>
      </c>
      <c r="J24" s="68">
        <v>5.6800000000000003E-2</v>
      </c>
      <c r="K24" s="13"/>
      <c r="L24" s="13"/>
      <c r="M24" s="13"/>
    </row>
    <row r="25" spans="1:13" ht="17.5">
      <c r="A25" s="65" t="str">
        <f>+'S&amp;D'!A32</f>
        <v>FirstEnergy Corp</v>
      </c>
      <c r="B25" s="93" t="str">
        <f>+'S&amp;D'!B32</f>
        <v>FE</v>
      </c>
      <c r="C25" s="93" t="str">
        <f>+'S&amp;D'!C32</f>
        <v>Electric Utility - East</v>
      </c>
      <c r="D25" s="56">
        <f>+'Beta for CAPM'!D28</f>
        <v>0.21</v>
      </c>
      <c r="E25" s="36" t="str">
        <f>+'Beta for CAPM'!G28</f>
        <v>B+</v>
      </c>
      <c r="F25" s="36" t="s">
        <v>94</v>
      </c>
      <c r="G25" s="304">
        <v>12</v>
      </c>
      <c r="H25" s="64" t="s">
        <v>90</v>
      </c>
      <c r="I25" s="304">
        <v>13</v>
      </c>
      <c r="J25" s="68">
        <v>6.9000000000000006E-2</v>
      </c>
      <c r="K25" s="13" t="s">
        <v>0</v>
      </c>
      <c r="L25" s="13"/>
      <c r="M25" s="13"/>
    </row>
    <row r="26" spans="1:13" ht="17.5">
      <c r="A26" s="65" t="str">
        <f>+'S&amp;D'!A33</f>
        <v>OGE Energy Corp.</v>
      </c>
      <c r="B26" s="93" t="str">
        <f>+'S&amp;D'!B33</f>
        <v>OGE</v>
      </c>
      <c r="C26" s="93" t="str">
        <f>+'S&amp;D'!C33</f>
        <v>Electric Utility - Cent</v>
      </c>
      <c r="D26" s="56">
        <f>+'Beta for CAPM'!D29</f>
        <v>0.12</v>
      </c>
      <c r="E26" s="36" t="str">
        <f>+'Beta for CAPM'!G29</f>
        <v>B++</v>
      </c>
      <c r="F26" s="36" t="s">
        <v>86</v>
      </c>
      <c r="G26" s="304">
        <v>10</v>
      </c>
      <c r="H26" s="64" t="s">
        <v>84</v>
      </c>
      <c r="I26" s="304">
        <v>10</v>
      </c>
      <c r="J26" s="68">
        <v>5.6800000000000003E-2</v>
      </c>
      <c r="K26" s="13" t="s">
        <v>0</v>
      </c>
      <c r="L26" s="13"/>
      <c r="M26" s="13"/>
    </row>
    <row r="27" spans="1:13" ht="17.5">
      <c r="A27" s="65" t="str">
        <f>+'S&amp;D'!A34</f>
        <v>Otter Tail Corp</v>
      </c>
      <c r="B27" s="93" t="str">
        <f>+'S&amp;D'!B34</f>
        <v>OTTR</v>
      </c>
      <c r="C27" s="93" t="str">
        <f>+'S&amp;D'!C34</f>
        <v>Electric Utility - Cent</v>
      </c>
      <c r="D27" s="56">
        <f>+'Beta for CAPM'!D30</f>
        <v>0.2</v>
      </c>
      <c r="E27" s="36" t="str">
        <f>+'Beta for CAPM'!G30</f>
        <v>B++</v>
      </c>
      <c r="F27" s="36" t="s">
        <v>87</v>
      </c>
      <c r="G27" s="304">
        <v>11</v>
      </c>
      <c r="H27" s="64" t="s">
        <v>85</v>
      </c>
      <c r="I27" s="304">
        <v>11</v>
      </c>
      <c r="J27" s="68">
        <v>5.6800000000000003E-2</v>
      </c>
      <c r="K27" s="13" t="s">
        <v>0</v>
      </c>
      <c r="L27" s="13"/>
      <c r="M27" s="13"/>
    </row>
    <row r="28" spans="1:13" ht="17.5">
      <c r="A28" s="65" t="str">
        <f>+'S&amp;D'!A35</f>
        <v>PPL Corporation</v>
      </c>
      <c r="B28" s="93" t="str">
        <f>+'S&amp;D'!B35</f>
        <v>PPL</v>
      </c>
      <c r="C28" s="93" t="str">
        <f>+'S&amp;D'!C35</f>
        <v>Electric Utility - East</v>
      </c>
      <c r="D28" s="56">
        <f>+'Beta for CAPM'!D31</f>
        <v>0.21</v>
      </c>
      <c r="E28" s="36" t="str">
        <f>+'Beta for CAPM'!G31</f>
        <v>B++</v>
      </c>
      <c r="F28" s="36" t="s">
        <v>93</v>
      </c>
      <c r="G28" s="304">
        <v>9</v>
      </c>
      <c r="H28" s="64" t="s">
        <v>84</v>
      </c>
      <c r="I28" s="304">
        <v>10</v>
      </c>
      <c r="J28" s="68">
        <v>5.6800000000000003E-2</v>
      </c>
      <c r="K28" s="13" t="s">
        <v>0</v>
      </c>
      <c r="L28" s="13"/>
      <c r="M28" s="13"/>
    </row>
    <row r="29" spans="1:13" ht="17.5">
      <c r="A29" s="65" t="str">
        <f>+'S&amp;D'!A36</f>
        <v>The Southern Company</v>
      </c>
      <c r="B29" s="93" t="str">
        <f>+'S&amp;D'!B36</f>
        <v>SO</v>
      </c>
      <c r="C29" s="93" t="str">
        <f>+'S&amp;D'!C36</f>
        <v>Electric Utility - East</v>
      </c>
      <c r="D29" s="56">
        <f>+'Beta for CAPM'!D32</f>
        <v>0.15</v>
      </c>
      <c r="E29" s="36" t="str">
        <f>+'Beta for CAPM'!G32</f>
        <v>A</v>
      </c>
      <c r="F29" s="36" t="s">
        <v>86</v>
      </c>
      <c r="G29" s="304">
        <v>10</v>
      </c>
      <c r="H29" s="64" t="s">
        <v>85</v>
      </c>
      <c r="I29" s="304">
        <v>11</v>
      </c>
      <c r="J29" s="68">
        <v>5.6800000000000003E-2</v>
      </c>
      <c r="K29" s="13" t="s">
        <v>0</v>
      </c>
      <c r="L29" s="13"/>
      <c r="M29" s="13"/>
    </row>
    <row r="30" spans="1:13" ht="17.5">
      <c r="A30" s="65" t="str">
        <f>+'S&amp;D'!A37</f>
        <v>WEC Energy Group</v>
      </c>
      <c r="B30" s="93" t="str">
        <f>+'S&amp;D'!B37</f>
        <v>WEC</v>
      </c>
      <c r="C30" s="93" t="str">
        <f>+'S&amp;D'!C37</f>
        <v>Electric Utility - Cent</v>
      </c>
      <c r="D30" s="56">
        <f>+'Beta for CAPM'!D33</f>
        <v>0.19</v>
      </c>
      <c r="E30" s="36" t="str">
        <f>+'Beta for CAPM'!G33</f>
        <v>A+</v>
      </c>
      <c r="F30" s="36" t="s">
        <v>93</v>
      </c>
      <c r="G30" s="304">
        <v>9</v>
      </c>
      <c r="H30" s="64" t="s">
        <v>84</v>
      </c>
      <c r="I30" s="304">
        <v>10</v>
      </c>
      <c r="J30" s="68">
        <v>5.6800000000000003E-2</v>
      </c>
      <c r="K30" s="13" t="s">
        <v>0</v>
      </c>
      <c r="L30" s="13"/>
      <c r="M30" s="13"/>
    </row>
    <row r="31" spans="1:13" ht="17.5" thickBot="1">
      <c r="A31" s="13"/>
      <c r="B31" s="13"/>
      <c r="C31" s="45"/>
      <c r="D31" s="48"/>
      <c r="E31" s="48"/>
      <c r="F31" s="48"/>
      <c r="G31" s="299"/>
      <c r="H31" s="48" t="s">
        <v>64</v>
      </c>
      <c r="I31" s="48"/>
      <c r="J31" s="48"/>
      <c r="K31" s="13"/>
      <c r="L31" s="13"/>
      <c r="M31" s="13"/>
    </row>
    <row r="32" spans="1:13" ht="17.5" thickTop="1">
      <c r="A32" s="13"/>
      <c r="B32" s="13"/>
      <c r="E32" s="15" t="s">
        <v>65</v>
      </c>
      <c r="F32" s="36"/>
      <c r="G32" s="298">
        <f>MAX(G15:G30)</f>
        <v>12</v>
      </c>
      <c r="I32" s="298">
        <f t="shared" ref="I32:J32" si="0">MAX(I15:I30)</f>
        <v>13</v>
      </c>
      <c r="J32" s="55">
        <f t="shared" si="0"/>
        <v>6.9000000000000006E-2</v>
      </c>
      <c r="K32" s="13"/>
      <c r="L32" s="13"/>
      <c r="M32" s="13"/>
    </row>
    <row r="33" spans="1:13" ht="17">
      <c r="A33" s="13"/>
      <c r="B33" s="13"/>
      <c r="E33" s="301" t="s">
        <v>66</v>
      </c>
      <c r="F33" s="127"/>
      <c r="G33" s="302">
        <f>MIN(G15:G30)</f>
        <v>9</v>
      </c>
      <c r="H33" s="255"/>
      <c r="I33" s="302">
        <f t="shared" ref="I33:J33" si="1">MIN(I15:I30)</f>
        <v>10</v>
      </c>
      <c r="J33" s="303">
        <f t="shared" si="1"/>
        <v>5.6800000000000003E-2</v>
      </c>
      <c r="K33" s="13"/>
      <c r="L33" s="13"/>
      <c r="M33" s="13"/>
    </row>
    <row r="34" spans="1:13" ht="17">
      <c r="A34" s="13"/>
      <c r="B34" s="13"/>
      <c r="E34" s="15" t="s">
        <v>18</v>
      </c>
      <c r="F34" s="58" t="s">
        <v>0</v>
      </c>
      <c r="G34" s="228">
        <f>MEDIAN(G15:G30)</f>
        <v>10</v>
      </c>
      <c r="I34" s="228">
        <f>MEDIAN(I15:I30)</f>
        <v>11</v>
      </c>
      <c r="J34" s="58">
        <f>MEDIAN(J15:J30)</f>
        <v>5.6800000000000003E-2</v>
      </c>
      <c r="K34" s="13"/>
      <c r="L34" s="13"/>
      <c r="M34" s="13"/>
    </row>
    <row r="35" spans="1:13" ht="17">
      <c r="A35" s="13"/>
      <c r="B35" s="13"/>
      <c r="D35" s="15" t="s">
        <v>0</v>
      </c>
      <c r="E35" s="15" t="s">
        <v>441</v>
      </c>
      <c r="F35" s="15"/>
      <c r="G35" s="229">
        <f>AVERAGE(G15:G30)</f>
        <v>10.0625</v>
      </c>
      <c r="I35" s="229">
        <f>AVERAGE(I15:I30)</f>
        <v>10.8125</v>
      </c>
      <c r="J35" s="58">
        <f>AVERAGE(J15:J30)</f>
        <v>5.7562499999999989E-2</v>
      </c>
      <c r="K35" s="13"/>
      <c r="L35" s="13"/>
      <c r="M35" s="13"/>
    </row>
    <row r="36" spans="1:13" ht="17">
      <c r="A36" s="13"/>
      <c r="B36" s="13"/>
      <c r="D36" s="59" t="s">
        <v>0</v>
      </c>
      <c r="E36" s="15" t="s">
        <v>305</v>
      </c>
      <c r="F36" s="15"/>
      <c r="G36" s="229">
        <f>TRIMMEAN(G15:G30,(2/COUNT(G15:G30)))</f>
        <v>10</v>
      </c>
      <c r="I36" s="229">
        <f>TRIMMEAN(I15:I30,(2/COUNT(I15:I30)))</f>
        <v>10.714285714285714</v>
      </c>
      <c r="J36" s="58">
        <f>TRIMMEAN(J15:J30,(2/COUNT(J15:J30)))</f>
        <v>5.6799999999999996E-2</v>
      </c>
      <c r="K36" s="13"/>
      <c r="L36" s="13"/>
      <c r="M36" s="13"/>
    </row>
    <row r="37" spans="1:13" ht="17.5" thickBot="1">
      <c r="A37" s="13"/>
      <c r="B37" s="13"/>
      <c r="C37" s="13"/>
      <c r="D37" s="13"/>
      <c r="E37" s="15"/>
      <c r="F37" s="59"/>
      <c r="G37" s="13"/>
      <c r="H37" s="13"/>
      <c r="I37" s="13"/>
      <c r="J37" s="13"/>
      <c r="K37" s="13"/>
      <c r="L37" s="13"/>
      <c r="M37" s="13"/>
    </row>
    <row r="38" spans="1:13" ht="26" thickBot="1">
      <c r="A38" s="13"/>
      <c r="B38" s="13"/>
      <c r="C38" s="13"/>
      <c r="D38" s="13"/>
      <c r="E38" s="13"/>
      <c r="F38" s="198"/>
      <c r="G38" s="300"/>
      <c r="H38" s="199" t="s">
        <v>278</v>
      </c>
      <c r="I38" s="367">
        <v>11</v>
      </c>
      <c r="J38" s="379">
        <v>5.7599999999999998E-2</v>
      </c>
      <c r="K38" s="13"/>
      <c r="L38" s="13"/>
      <c r="M38" s="13"/>
    </row>
    <row r="39" spans="1:13" ht="17">
      <c r="A39" s="13"/>
      <c r="B39" s="13"/>
      <c r="C39" s="13"/>
      <c r="D39" s="13"/>
      <c r="E39" s="13"/>
      <c r="F39" s="13"/>
      <c r="G39" s="13"/>
      <c r="H39" s="13"/>
      <c r="I39" s="13"/>
      <c r="J39" s="13"/>
      <c r="K39" s="13"/>
      <c r="L39" s="13"/>
      <c r="M39" s="13"/>
    </row>
    <row r="40" spans="1:13" ht="17">
      <c r="A40" s="13"/>
      <c r="B40" s="13"/>
      <c r="C40" s="13"/>
      <c r="D40" s="13"/>
      <c r="E40" s="13"/>
      <c r="F40" s="13"/>
      <c r="G40" s="13"/>
      <c r="H40" s="13"/>
      <c r="I40" s="13"/>
      <c r="J40" s="13"/>
      <c r="K40" s="13"/>
      <c r="L40" s="13"/>
      <c r="M40" s="13"/>
    </row>
    <row r="41" spans="1:13" ht="17">
      <c r="A41" s="13"/>
      <c r="B41" s="13"/>
      <c r="C41" s="13"/>
      <c r="D41" s="13"/>
      <c r="E41" s="13"/>
      <c r="F41" s="13"/>
      <c r="G41" s="13"/>
      <c r="H41" s="13"/>
      <c r="I41" s="13"/>
      <c r="J41" s="13"/>
      <c r="K41" s="13"/>
      <c r="L41" s="13"/>
      <c r="M41" s="13"/>
    </row>
    <row r="42" spans="1:13" ht="21.5" thickBot="1">
      <c r="A42" s="288" t="s">
        <v>180</v>
      </c>
      <c r="B42" s="13"/>
      <c r="G42" s="13"/>
      <c r="H42" s="13"/>
      <c r="I42" s="13"/>
      <c r="J42" s="13"/>
      <c r="K42" s="13"/>
      <c r="L42" s="13"/>
      <c r="M42" s="13"/>
    </row>
    <row r="43" spans="1:13" ht="29.5" thickBot="1">
      <c r="A43" s="437" t="s">
        <v>427</v>
      </c>
      <c r="B43" s="437" t="s">
        <v>376</v>
      </c>
      <c r="C43" s="437" t="s">
        <v>443</v>
      </c>
      <c r="D43" s="454" t="s">
        <v>526</v>
      </c>
      <c r="E43" s="454" t="s">
        <v>527</v>
      </c>
      <c r="F43" s="13"/>
      <c r="G43" s="13"/>
      <c r="H43" s="13"/>
      <c r="I43" s="13"/>
      <c r="M43" s="13"/>
    </row>
    <row r="44" spans="1:13" ht="17.5">
      <c r="A44" s="293" t="s">
        <v>381</v>
      </c>
      <c r="B44" s="294">
        <v>1</v>
      </c>
      <c r="C44" s="295" t="s">
        <v>382</v>
      </c>
      <c r="D44" s="427" t="s">
        <v>0</v>
      </c>
      <c r="E44" s="427" t="s">
        <v>0</v>
      </c>
      <c r="F44" s="13"/>
      <c r="G44" s="13"/>
      <c r="H44" s="13"/>
      <c r="I44" s="13"/>
      <c r="M44" s="13"/>
    </row>
    <row r="45" spans="1:13" ht="17.5">
      <c r="A45" s="60" t="s">
        <v>383</v>
      </c>
      <c r="B45" s="289">
        <v>2</v>
      </c>
      <c r="C45" s="296" t="s">
        <v>364</v>
      </c>
      <c r="D45" s="428">
        <v>4.7399999999999998E-2</v>
      </c>
      <c r="E45" s="428">
        <v>4.7399999999999998E-2</v>
      </c>
      <c r="F45" s="13" t="s">
        <v>233</v>
      </c>
      <c r="H45" s="13"/>
      <c r="I45" s="13"/>
      <c r="M45" s="13"/>
    </row>
    <row r="46" spans="1:13" ht="18" thickBot="1">
      <c r="A46" s="61" t="s">
        <v>384</v>
      </c>
      <c r="B46" s="291">
        <v>3</v>
      </c>
      <c r="C46" s="297" t="s">
        <v>385</v>
      </c>
      <c r="D46" s="429"/>
      <c r="E46" s="429"/>
      <c r="F46" s="13"/>
      <c r="H46" s="13"/>
      <c r="I46" s="13"/>
      <c r="M46" s="13"/>
    </row>
    <row r="47" spans="1:13" ht="17.5">
      <c r="A47" s="60" t="s">
        <v>179</v>
      </c>
      <c r="B47" s="289">
        <v>4</v>
      </c>
      <c r="C47" s="290" t="s">
        <v>365</v>
      </c>
      <c r="D47" s="428"/>
      <c r="E47" s="428"/>
      <c r="F47" s="13"/>
      <c r="H47" s="13"/>
      <c r="I47" s="13"/>
      <c r="M47" s="13"/>
    </row>
    <row r="48" spans="1:13" ht="17.5">
      <c r="A48" s="60" t="s">
        <v>178</v>
      </c>
      <c r="B48" s="289">
        <v>5</v>
      </c>
      <c r="C48" s="290" t="s">
        <v>366</v>
      </c>
      <c r="D48" s="428">
        <v>5.0500000000000003E-2</v>
      </c>
      <c r="E48" s="428">
        <v>5.2699999999999997E-2</v>
      </c>
      <c r="F48" s="13" t="s">
        <v>367</v>
      </c>
      <c r="H48" s="13"/>
      <c r="I48" s="13"/>
      <c r="M48" s="13"/>
    </row>
    <row r="49" spans="1:13" ht="18" thickBot="1">
      <c r="A49" s="61" t="s">
        <v>177</v>
      </c>
      <c r="B49" s="291">
        <v>6</v>
      </c>
      <c r="C49" s="292" t="s">
        <v>207</v>
      </c>
      <c r="D49" s="430" t="s">
        <v>0</v>
      </c>
      <c r="E49" s="430" t="s">
        <v>0</v>
      </c>
      <c r="F49" s="13"/>
      <c r="H49" s="13"/>
      <c r="I49" s="13"/>
      <c r="M49" s="13"/>
    </row>
    <row r="50" spans="1:13" ht="17.5">
      <c r="A50" s="60" t="s">
        <v>89</v>
      </c>
      <c r="B50" s="289">
        <v>7</v>
      </c>
      <c r="C50" s="290" t="s">
        <v>63</v>
      </c>
      <c r="D50" s="431" t="s">
        <v>0</v>
      </c>
      <c r="E50" s="431" t="s">
        <v>0</v>
      </c>
      <c r="H50" s="13"/>
      <c r="I50" s="13"/>
      <c r="M50" s="13"/>
    </row>
    <row r="51" spans="1:13" ht="17.5">
      <c r="A51" s="60" t="s">
        <v>176</v>
      </c>
      <c r="B51" s="289">
        <v>8</v>
      </c>
      <c r="C51" s="290" t="s">
        <v>24</v>
      </c>
      <c r="D51" s="432">
        <v>5.2499999999999998E-2</v>
      </c>
      <c r="E51" s="432">
        <v>5.4199999999999998E-2</v>
      </c>
      <c r="F51" s="13" t="s">
        <v>234</v>
      </c>
      <c r="H51" s="13"/>
      <c r="I51" s="13"/>
      <c r="J51" s="13"/>
      <c r="K51" s="13"/>
      <c r="L51" s="13"/>
      <c r="M51" s="13"/>
    </row>
    <row r="52" spans="1:13" ht="18" thickBot="1">
      <c r="A52" s="61" t="s">
        <v>91</v>
      </c>
      <c r="B52" s="291">
        <v>9</v>
      </c>
      <c r="C52" s="292" t="s">
        <v>93</v>
      </c>
      <c r="D52" s="430"/>
      <c r="E52" s="430"/>
      <c r="F52" s="13"/>
      <c r="H52" s="13"/>
      <c r="I52" s="13"/>
      <c r="J52" s="13"/>
      <c r="K52" s="13"/>
      <c r="L52" s="13"/>
      <c r="M52" s="13"/>
    </row>
    <row r="53" spans="1:13" ht="17.5">
      <c r="A53" s="60" t="s">
        <v>84</v>
      </c>
      <c r="B53" s="289">
        <v>10</v>
      </c>
      <c r="C53" s="290" t="s">
        <v>86</v>
      </c>
      <c r="D53" s="432"/>
      <c r="E53" s="432"/>
      <c r="H53" s="13"/>
      <c r="I53" s="13"/>
      <c r="J53" s="13"/>
      <c r="K53" s="13"/>
      <c r="L53" s="13"/>
      <c r="M53" s="13"/>
    </row>
    <row r="54" spans="1:13" ht="17.5">
      <c r="A54" s="60" t="s">
        <v>85</v>
      </c>
      <c r="B54" s="289">
        <v>11</v>
      </c>
      <c r="C54" s="290" t="s">
        <v>87</v>
      </c>
      <c r="D54" s="432">
        <v>5.6399999999999999E-2</v>
      </c>
      <c r="E54" s="432">
        <v>5.6800000000000003E-2</v>
      </c>
      <c r="F54" s="13" t="s">
        <v>237</v>
      </c>
      <c r="H54" s="13"/>
      <c r="I54" s="13"/>
      <c r="J54" s="13"/>
      <c r="K54" s="13"/>
      <c r="L54" s="13"/>
      <c r="M54" s="13"/>
    </row>
    <row r="55" spans="1:13" ht="18" thickBot="1">
      <c r="A55" s="61" t="s">
        <v>92</v>
      </c>
      <c r="B55" s="291">
        <v>12</v>
      </c>
      <c r="C55" s="292" t="s">
        <v>94</v>
      </c>
      <c r="D55" s="432" t="s">
        <v>0</v>
      </c>
      <c r="E55" s="432" t="s">
        <v>0</v>
      </c>
      <c r="F55" s="13"/>
      <c r="H55" s="13"/>
      <c r="I55" s="13"/>
      <c r="J55" s="13"/>
      <c r="K55" s="13"/>
      <c r="L55" s="13"/>
      <c r="M55" s="13"/>
    </row>
    <row r="56" spans="1:13" ht="17.5">
      <c r="A56" s="60" t="s">
        <v>90</v>
      </c>
      <c r="B56" s="289">
        <v>13</v>
      </c>
      <c r="C56" s="290" t="s">
        <v>368</v>
      </c>
      <c r="D56" s="431" t="s">
        <v>0</v>
      </c>
      <c r="E56" s="431" t="s">
        <v>0</v>
      </c>
      <c r="H56" s="13"/>
      <c r="I56" s="13"/>
      <c r="J56" s="13"/>
      <c r="K56" s="13"/>
      <c r="L56" s="13"/>
      <c r="M56" s="13"/>
    </row>
    <row r="57" spans="1:13" ht="17.5">
      <c r="A57" s="60" t="s">
        <v>175</v>
      </c>
      <c r="B57" s="289">
        <v>14</v>
      </c>
      <c r="C57" s="290" t="s">
        <v>369</v>
      </c>
      <c r="D57" s="428">
        <v>6.8500000000000005E-2</v>
      </c>
      <c r="E57" s="428">
        <v>6.9000000000000006E-2</v>
      </c>
      <c r="F57" s="13" t="s">
        <v>236</v>
      </c>
      <c r="H57" s="13"/>
      <c r="I57" s="13"/>
      <c r="J57" s="13"/>
      <c r="K57" s="13"/>
      <c r="L57" s="13"/>
      <c r="M57" s="13"/>
    </row>
    <row r="58" spans="1:13" ht="18" thickBot="1">
      <c r="A58" s="61" t="s">
        <v>174</v>
      </c>
      <c r="B58" s="291">
        <v>15</v>
      </c>
      <c r="C58" s="292" t="s">
        <v>370</v>
      </c>
      <c r="D58" s="429" t="s">
        <v>0</v>
      </c>
      <c r="E58" s="429" t="s">
        <v>0</v>
      </c>
      <c r="F58" s="13"/>
      <c r="H58" s="13"/>
      <c r="I58" s="13"/>
      <c r="J58" s="13"/>
      <c r="K58" s="13"/>
      <c r="L58" s="13"/>
      <c r="M58" s="13"/>
    </row>
    <row r="59" spans="1:13" ht="17.5">
      <c r="A59" s="60" t="s">
        <v>173</v>
      </c>
      <c r="B59" s="289">
        <v>16</v>
      </c>
      <c r="C59" s="290" t="s">
        <v>25</v>
      </c>
      <c r="D59" s="431"/>
      <c r="E59" s="431"/>
      <c r="H59" s="13"/>
      <c r="I59" s="13"/>
      <c r="J59" s="13"/>
      <c r="K59" s="13"/>
      <c r="L59" s="13"/>
      <c r="M59" s="13"/>
    </row>
    <row r="60" spans="1:13" ht="17.5">
      <c r="A60" s="60" t="s">
        <v>172</v>
      </c>
      <c r="B60" s="289">
        <v>17</v>
      </c>
      <c r="C60" s="290" t="s">
        <v>123</v>
      </c>
      <c r="D60" s="432">
        <v>7.46E-2</v>
      </c>
      <c r="E60" s="432">
        <v>7.6499999999999999E-2</v>
      </c>
      <c r="F60" s="13" t="s">
        <v>235</v>
      </c>
      <c r="H60" s="13"/>
      <c r="I60" s="13"/>
      <c r="J60" s="13"/>
      <c r="K60" s="13"/>
      <c r="L60" s="13"/>
      <c r="M60" s="13"/>
    </row>
    <row r="61" spans="1:13" ht="18" thickBot="1">
      <c r="A61" s="61" t="s">
        <v>171</v>
      </c>
      <c r="B61" s="291">
        <v>18</v>
      </c>
      <c r="C61" s="292" t="s">
        <v>371</v>
      </c>
      <c r="D61" s="429"/>
      <c r="E61" s="429"/>
      <c r="F61" s="13"/>
      <c r="H61" s="13"/>
      <c r="I61" s="13"/>
      <c r="J61" s="13"/>
      <c r="K61" s="13"/>
      <c r="L61" s="13"/>
      <c r="M61" s="13"/>
    </row>
    <row r="62" spans="1:13" ht="17.5">
      <c r="A62" s="60" t="s">
        <v>170</v>
      </c>
      <c r="B62" s="289">
        <v>19</v>
      </c>
      <c r="C62" s="290" t="s">
        <v>372</v>
      </c>
      <c r="D62" s="432"/>
      <c r="E62" s="432"/>
      <c r="H62" s="13"/>
      <c r="I62" s="13"/>
      <c r="J62" s="13"/>
      <c r="K62" s="13"/>
      <c r="L62" s="13"/>
      <c r="M62" s="13"/>
    </row>
    <row r="63" spans="1:13" ht="17.5">
      <c r="A63" s="60" t="s">
        <v>169</v>
      </c>
      <c r="B63" s="289">
        <v>20</v>
      </c>
      <c r="C63" s="290" t="s">
        <v>373</v>
      </c>
      <c r="D63" s="432">
        <v>8.0699999999999994E-2</v>
      </c>
      <c r="E63" s="432">
        <v>8.2799999999999999E-2</v>
      </c>
      <c r="F63" s="13" t="s">
        <v>232</v>
      </c>
      <c r="H63" s="13"/>
      <c r="I63" s="13"/>
      <c r="J63" s="13"/>
      <c r="K63" s="13"/>
      <c r="L63" s="13"/>
      <c r="M63" s="13"/>
    </row>
    <row r="64" spans="1:13" ht="18" thickBot="1">
      <c r="A64" s="61" t="s">
        <v>168</v>
      </c>
      <c r="B64" s="291">
        <v>21</v>
      </c>
      <c r="C64" s="381" t="s">
        <v>374</v>
      </c>
      <c r="D64" s="430"/>
      <c r="E64" s="430"/>
      <c r="F64" s="13"/>
      <c r="H64" s="13"/>
      <c r="I64" s="13"/>
      <c r="J64" s="13"/>
      <c r="K64" s="13"/>
      <c r="L64" s="13"/>
    </row>
    <row r="65" spans="1:6" ht="17.5">
      <c r="A65" s="380" t="s">
        <v>386</v>
      </c>
      <c r="B65" s="383">
        <v>22</v>
      </c>
      <c r="C65" s="386" t="s">
        <v>387</v>
      </c>
      <c r="D65" s="433"/>
      <c r="E65" s="433"/>
    </row>
    <row r="66" spans="1:6" ht="17.5">
      <c r="A66" s="380" t="s">
        <v>388</v>
      </c>
      <c r="B66" s="384">
        <v>23</v>
      </c>
      <c r="C66" s="387" t="s">
        <v>375</v>
      </c>
      <c r="D66" s="434"/>
      <c r="E66" s="434"/>
      <c r="F66" s="13" t="s">
        <v>230</v>
      </c>
    </row>
    <row r="67" spans="1:6" ht="18" thickBot="1">
      <c r="A67" s="382" t="s">
        <v>389</v>
      </c>
      <c r="B67" s="385">
        <v>24</v>
      </c>
      <c r="C67" s="381" t="s">
        <v>390</v>
      </c>
      <c r="D67" s="435"/>
      <c r="E67" s="435"/>
      <c r="F67" s="13"/>
    </row>
    <row r="68" spans="1:6" ht="18" thickBot="1">
      <c r="A68" s="61" t="s">
        <v>307</v>
      </c>
      <c r="B68" s="291">
        <v>25</v>
      </c>
      <c r="C68" s="61" t="s">
        <v>124</v>
      </c>
      <c r="D68" s="436"/>
      <c r="E68" s="436"/>
      <c r="F68" s="13" t="s">
        <v>231</v>
      </c>
    </row>
  </sheetData>
  <pageMargins left="0.25" right="0.25" top="0.75" bottom="0.75" header="0.3" footer="0.3"/>
  <pageSetup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45"/>
  <sheetViews>
    <sheetView view="pageBreakPreview" topLeftCell="A14" zoomScale="60" zoomScaleNormal="80" workbookViewId="0">
      <selection activeCell="M40" sqref="M40"/>
    </sheetView>
  </sheetViews>
  <sheetFormatPr defaultRowHeight="14.5"/>
  <cols>
    <col min="1" max="1" width="48.81640625" customWidth="1"/>
    <col min="2" max="2" width="11.54296875" customWidth="1"/>
    <col min="3" max="3" width="19.81640625" customWidth="1"/>
    <col min="4" max="4" width="24.7265625" customWidth="1"/>
    <col min="5" max="5" width="22.7265625" customWidth="1"/>
    <col min="6" max="7" width="21.26953125" customWidth="1"/>
    <col min="8" max="8" width="14.81640625" customWidth="1"/>
    <col min="9" max="9" width="18.453125" customWidth="1"/>
    <col min="10" max="10" width="21.26953125" customWidth="1"/>
    <col min="11" max="11" width="2.26953125" customWidth="1"/>
    <col min="12" max="12" width="22.7265625" customWidth="1"/>
    <col min="13" max="13" width="17.26953125" customWidth="1"/>
  </cols>
  <sheetData>
    <row r="1" spans="1:14" ht="25.5">
      <c r="A1" s="25" t="s">
        <v>1</v>
      </c>
      <c r="B1" s="13"/>
      <c r="C1" s="13"/>
      <c r="D1" s="13"/>
      <c r="E1" s="13"/>
      <c r="F1" s="13"/>
      <c r="G1" s="13"/>
      <c r="H1" s="13"/>
      <c r="I1" s="13"/>
      <c r="J1" s="13"/>
      <c r="K1" s="13"/>
      <c r="L1" s="13"/>
      <c r="M1" s="13"/>
      <c r="N1" s="13"/>
    </row>
    <row r="2" spans="1:14" ht="17.5">
      <c r="A2" s="65" t="s">
        <v>9</v>
      </c>
      <c r="B2" s="13"/>
      <c r="C2" s="13"/>
      <c r="D2" s="13"/>
      <c r="E2" s="13"/>
      <c r="F2" s="13"/>
      <c r="G2" s="13"/>
      <c r="H2" s="13"/>
      <c r="I2" s="13"/>
      <c r="J2" s="13"/>
      <c r="K2" s="13"/>
      <c r="L2" s="13"/>
      <c r="M2" s="13"/>
      <c r="N2" s="13"/>
    </row>
    <row r="3" spans="1:14" ht="17">
      <c r="A3" s="27" t="s">
        <v>483</v>
      </c>
      <c r="B3" s="13"/>
      <c r="C3" s="13"/>
      <c r="D3" s="13"/>
      <c r="E3" s="13"/>
      <c r="F3" s="13"/>
      <c r="G3" s="13"/>
      <c r="H3" s="13"/>
      <c r="I3" s="13"/>
      <c r="J3" s="13"/>
      <c r="K3" s="13"/>
      <c r="L3" s="13"/>
      <c r="M3" s="13"/>
      <c r="N3" s="13"/>
    </row>
    <row r="4" spans="1:14" ht="17">
      <c r="A4" s="13"/>
      <c r="B4" s="13"/>
      <c r="C4" s="13"/>
      <c r="D4" s="28" t="s">
        <v>0</v>
      </c>
      <c r="E4" s="13"/>
      <c r="F4" s="13"/>
      <c r="G4" s="13"/>
      <c r="H4" s="13"/>
      <c r="I4" s="13"/>
      <c r="J4" s="13"/>
      <c r="K4" s="13"/>
      <c r="L4" s="13"/>
      <c r="M4" s="13"/>
      <c r="N4" s="13"/>
    </row>
    <row r="5" spans="1:14" ht="18" thickBot="1">
      <c r="A5" s="65"/>
      <c r="B5" s="13"/>
      <c r="C5" s="13"/>
      <c r="D5" s="13"/>
      <c r="E5" s="13"/>
      <c r="F5" s="13"/>
      <c r="G5" s="13"/>
      <c r="H5" s="13"/>
      <c r="I5" s="13"/>
      <c r="J5" s="13"/>
      <c r="K5" s="13"/>
      <c r="L5" s="13"/>
      <c r="M5" s="13"/>
      <c r="N5" s="13"/>
    </row>
    <row r="6" spans="1:14" ht="24" customHeight="1" thickBot="1">
      <c r="A6" s="277" t="str">
        <f>+'S&amp;D'!A12</f>
        <v>Electric Utilities</v>
      </c>
      <c r="B6" s="203"/>
      <c r="C6" s="13"/>
      <c r="D6" s="13"/>
      <c r="E6" s="13"/>
      <c r="F6" s="13"/>
      <c r="G6" s="13"/>
      <c r="H6" s="13"/>
      <c r="I6" s="13"/>
      <c r="J6" s="13"/>
      <c r="K6" s="13"/>
      <c r="L6" s="13"/>
      <c r="M6" s="13"/>
      <c r="N6" s="13"/>
    </row>
    <row r="7" spans="1:14" ht="17.5">
      <c r="A7" s="65"/>
      <c r="B7" s="13"/>
      <c r="C7" s="13"/>
      <c r="D7" s="13"/>
      <c r="E7" s="13"/>
      <c r="F7" s="13"/>
      <c r="G7" s="13"/>
      <c r="H7" s="13"/>
      <c r="I7" s="13"/>
      <c r="J7" s="13"/>
      <c r="K7" s="13"/>
      <c r="L7" s="13"/>
      <c r="M7" s="13"/>
      <c r="N7" s="13"/>
    </row>
    <row r="8" spans="1:14" ht="18" thickBot="1">
      <c r="A8" s="65"/>
      <c r="B8" s="30"/>
      <c r="C8" s="30"/>
      <c r="D8" s="30"/>
      <c r="E8" s="30"/>
      <c r="F8" s="13"/>
      <c r="G8" s="13"/>
      <c r="H8" s="30"/>
      <c r="I8" s="30"/>
      <c r="J8" s="30"/>
      <c r="K8" s="30"/>
      <c r="L8" s="30"/>
      <c r="M8" s="30"/>
      <c r="N8" s="13"/>
    </row>
    <row r="9" spans="1:14" ht="25.5">
      <c r="B9" s="13"/>
      <c r="C9" s="13"/>
      <c r="D9" s="33" t="s">
        <v>350</v>
      </c>
      <c r="E9" s="13"/>
      <c r="F9" s="13"/>
      <c r="G9" s="13"/>
      <c r="H9" s="13"/>
      <c r="I9" s="13"/>
      <c r="J9" s="13"/>
      <c r="K9" s="71" t="s">
        <v>351</v>
      </c>
      <c r="L9" s="13"/>
      <c r="M9" s="13"/>
      <c r="N9" s="13"/>
    </row>
    <row r="10" spans="1:14" ht="21.5" thickBot="1">
      <c r="A10" s="32"/>
      <c r="B10" s="30"/>
      <c r="C10" s="30"/>
      <c r="D10" s="34" t="s">
        <v>484</v>
      </c>
      <c r="E10" s="30"/>
      <c r="F10" s="13"/>
      <c r="G10" s="13"/>
      <c r="H10" s="30"/>
      <c r="I10" s="30"/>
      <c r="J10" s="30"/>
      <c r="K10" s="34" t="s">
        <v>484</v>
      </c>
      <c r="L10" s="30"/>
      <c r="M10" s="30"/>
      <c r="N10" s="13"/>
    </row>
    <row r="11" spans="1:14" ht="17.5" thickBot="1">
      <c r="A11" s="35" t="s">
        <v>0</v>
      </c>
      <c r="B11" s="35" t="s">
        <v>0</v>
      </c>
      <c r="C11" s="35" t="s">
        <v>0</v>
      </c>
      <c r="D11" s="35" t="s">
        <v>0</v>
      </c>
      <c r="E11" s="35" t="s">
        <v>0</v>
      </c>
      <c r="F11" s="35" t="s">
        <v>0</v>
      </c>
      <c r="G11" s="42"/>
      <c r="H11" s="276"/>
      <c r="I11" s="35" t="s">
        <v>0</v>
      </c>
      <c r="J11" s="30"/>
      <c r="K11" s="30"/>
      <c r="L11" s="30"/>
      <c r="M11" s="30"/>
      <c r="N11" s="13"/>
    </row>
    <row r="12" spans="1:14" ht="17">
      <c r="A12" s="36" t="s">
        <v>0</v>
      </c>
      <c r="B12" s="36" t="s">
        <v>3</v>
      </c>
      <c r="C12" s="36" t="s">
        <v>0</v>
      </c>
      <c r="D12" s="36" t="s">
        <v>144</v>
      </c>
      <c r="E12" s="36" t="s">
        <v>144</v>
      </c>
      <c r="F12" s="36" t="s">
        <v>27</v>
      </c>
      <c r="G12" s="36"/>
      <c r="H12" s="36" t="s">
        <v>3</v>
      </c>
      <c r="I12" s="36" t="s">
        <v>0</v>
      </c>
      <c r="J12" s="36" t="s">
        <v>144</v>
      </c>
      <c r="K12" s="36"/>
      <c r="L12" s="36" t="s">
        <v>144</v>
      </c>
      <c r="M12" s="36" t="s">
        <v>27</v>
      </c>
      <c r="N12" s="13"/>
    </row>
    <row r="13" spans="1:14" ht="17.5" thickBot="1">
      <c r="A13" s="38" t="s">
        <v>2</v>
      </c>
      <c r="B13" s="38" t="s">
        <v>4</v>
      </c>
      <c r="C13" s="38" t="s">
        <v>28</v>
      </c>
      <c r="D13" s="38" t="s">
        <v>0</v>
      </c>
      <c r="E13" s="38" t="s">
        <v>29</v>
      </c>
      <c r="F13" s="38" t="s">
        <v>30</v>
      </c>
      <c r="G13" s="36"/>
      <c r="H13" s="38" t="s">
        <v>4</v>
      </c>
      <c r="I13" s="38" t="s">
        <v>28</v>
      </c>
      <c r="J13" s="38" t="s">
        <v>0</v>
      </c>
      <c r="K13" s="38"/>
      <c r="L13" s="38" t="s">
        <v>29</v>
      </c>
      <c r="M13" s="38" t="s">
        <v>30</v>
      </c>
      <c r="N13" s="13"/>
    </row>
    <row r="14" spans="1:14" ht="17">
      <c r="A14" s="40" t="s">
        <v>0</v>
      </c>
      <c r="B14" s="40" t="s">
        <v>0</v>
      </c>
      <c r="C14" s="41" t="s">
        <v>147</v>
      </c>
      <c r="D14" s="40" t="s">
        <v>148</v>
      </c>
      <c r="E14" s="40" t="s">
        <v>0</v>
      </c>
      <c r="F14" s="40" t="s">
        <v>0</v>
      </c>
      <c r="G14" s="42"/>
      <c r="H14" s="40" t="s">
        <v>0</v>
      </c>
      <c r="I14" s="41" t="s">
        <v>147</v>
      </c>
      <c r="J14" s="40" t="s">
        <v>149</v>
      </c>
      <c r="K14" s="40"/>
      <c r="L14" s="40" t="s">
        <v>0</v>
      </c>
      <c r="M14" s="40" t="s">
        <v>0</v>
      </c>
      <c r="N14" s="13"/>
    </row>
    <row r="15" spans="1:14" ht="17">
      <c r="A15" s="36"/>
      <c r="B15" s="36"/>
      <c r="C15" s="36"/>
      <c r="D15" s="36"/>
      <c r="E15" s="36"/>
      <c r="F15" s="36"/>
      <c r="G15" s="36"/>
      <c r="H15" s="36"/>
      <c r="I15" s="36"/>
      <c r="J15" s="36"/>
      <c r="K15" s="36"/>
      <c r="L15" s="36"/>
      <c r="M15" s="36"/>
      <c r="N15" s="13"/>
    </row>
    <row r="16" spans="1:14" ht="17">
      <c r="A16" s="13"/>
      <c r="B16" s="13"/>
      <c r="C16" s="13"/>
      <c r="D16" s="13"/>
      <c r="E16" s="13"/>
      <c r="F16" s="13"/>
      <c r="G16" s="13"/>
      <c r="H16" s="13"/>
      <c r="I16" s="13"/>
      <c r="J16" s="13"/>
      <c r="K16" s="13"/>
      <c r="L16" s="13"/>
      <c r="M16" s="13"/>
      <c r="N16" s="13"/>
    </row>
    <row r="17" spans="1:14" ht="17.5">
      <c r="A17" s="45" t="s">
        <v>314</v>
      </c>
      <c r="B17" s="36" t="s">
        <v>53</v>
      </c>
      <c r="C17" s="62">
        <f>+'S&amp;D'!G22</f>
        <v>61.16</v>
      </c>
      <c r="D17" s="64">
        <v>8.3000000000000007</v>
      </c>
      <c r="E17" s="72">
        <f>C17/D17</f>
        <v>7.3686746987951794</v>
      </c>
      <c r="F17" s="59">
        <f t="shared" ref="F17:F32" si="0">1/E17</f>
        <v>0.13570961412688035</v>
      </c>
      <c r="G17" s="59"/>
      <c r="H17" s="36" t="str">
        <f>+B17</f>
        <v>ALE</v>
      </c>
      <c r="I17" s="62">
        <f>+C17</f>
        <v>61.16</v>
      </c>
      <c r="J17" s="64">
        <v>8.8000000000000007</v>
      </c>
      <c r="K17" s="64"/>
      <c r="L17" s="72">
        <f>I17/J17</f>
        <v>6.9499999999999993</v>
      </c>
      <c r="M17" s="59">
        <f t="shared" ref="M17:M32" si="1">1/L17</f>
        <v>0.14388489208633096</v>
      </c>
      <c r="N17" s="13"/>
    </row>
    <row r="18" spans="1:14" ht="17.5">
      <c r="A18" s="45" t="s">
        <v>44</v>
      </c>
      <c r="B18" s="36" t="s">
        <v>54</v>
      </c>
      <c r="C18" s="62">
        <f>+'S&amp;D'!G23</f>
        <v>51.3</v>
      </c>
      <c r="D18" s="64">
        <v>5.65</v>
      </c>
      <c r="E18" s="72">
        <f t="shared" ref="E18:E32" si="2">C18/D18</f>
        <v>9.0796460176991136</v>
      </c>
      <c r="F18" s="59">
        <f t="shared" si="0"/>
        <v>0.11013645224171542</v>
      </c>
      <c r="G18" s="59"/>
      <c r="H18" s="36" t="str">
        <f t="shared" ref="H18:H32" si="3">+B18</f>
        <v>LNT</v>
      </c>
      <c r="I18" s="62">
        <f t="shared" ref="I18:I32" si="4">+C18</f>
        <v>51.3</v>
      </c>
      <c r="J18" s="64">
        <v>5.85</v>
      </c>
      <c r="K18" s="64"/>
      <c r="L18" s="72">
        <f t="shared" ref="L18:L32" si="5">I18/J18</f>
        <v>8.7692307692307701</v>
      </c>
      <c r="M18" s="59">
        <f t="shared" si="1"/>
        <v>0.11403508771929824</v>
      </c>
      <c r="N18" s="13"/>
    </row>
    <row r="19" spans="1:14" ht="17.5">
      <c r="A19" s="45" t="s">
        <v>45</v>
      </c>
      <c r="B19" s="36" t="s">
        <v>58</v>
      </c>
      <c r="C19" s="62">
        <f>+'S&amp;D'!G24</f>
        <v>72.34</v>
      </c>
      <c r="D19" s="64">
        <v>10.55</v>
      </c>
      <c r="E19" s="72">
        <f t="shared" si="2"/>
        <v>6.8568720379146919</v>
      </c>
      <c r="F19" s="59">
        <f t="shared" si="0"/>
        <v>0.1458390931711363</v>
      </c>
      <c r="G19" s="59"/>
      <c r="H19" s="36" t="str">
        <f t="shared" si="3"/>
        <v>AEE</v>
      </c>
      <c r="I19" s="62">
        <f t="shared" si="4"/>
        <v>72.34</v>
      </c>
      <c r="J19" s="64">
        <v>11.15</v>
      </c>
      <c r="K19" s="64"/>
      <c r="L19" s="72">
        <f t="shared" si="5"/>
        <v>6.4878923766816143</v>
      </c>
      <c r="M19" s="59">
        <f t="shared" si="1"/>
        <v>0.15413325960740945</v>
      </c>
      <c r="N19" s="13"/>
    </row>
    <row r="20" spans="1:14" ht="17.5">
      <c r="A20" s="45" t="s">
        <v>46</v>
      </c>
      <c r="B20" s="36" t="s">
        <v>59</v>
      </c>
      <c r="C20" s="62">
        <f>+'S&amp;D'!G25</f>
        <v>81.22</v>
      </c>
      <c r="D20" s="64">
        <v>11.65</v>
      </c>
      <c r="E20" s="72">
        <f>C20/D20</f>
        <v>6.971673819742489</v>
      </c>
      <c r="F20" s="59">
        <f t="shared" si="0"/>
        <v>0.14343757695148979</v>
      </c>
      <c r="G20" s="59"/>
      <c r="H20" s="36" t="str">
        <f t="shared" si="3"/>
        <v>AEP</v>
      </c>
      <c r="I20" s="62">
        <f t="shared" si="4"/>
        <v>81.22</v>
      </c>
      <c r="J20" s="64">
        <v>12.35</v>
      </c>
      <c r="K20" s="64"/>
      <c r="L20" s="72">
        <f t="shared" si="5"/>
        <v>6.5765182186234821</v>
      </c>
      <c r="M20" s="59">
        <f t="shared" si="1"/>
        <v>0.1520561438069441</v>
      </c>
      <c r="N20" s="13"/>
    </row>
    <row r="21" spans="1:14" ht="17.5">
      <c r="A21" s="45" t="s">
        <v>47</v>
      </c>
      <c r="B21" s="36" t="s">
        <v>60</v>
      </c>
      <c r="C21" s="62">
        <f>+'S&amp;D'!G26</f>
        <v>28.57</v>
      </c>
      <c r="D21" s="64">
        <v>3.85</v>
      </c>
      <c r="E21" s="72">
        <f t="shared" si="2"/>
        <v>7.4207792207792203</v>
      </c>
      <c r="F21" s="59">
        <f t="shared" si="0"/>
        <v>0.13475673783689185</v>
      </c>
      <c r="G21" s="59"/>
      <c r="H21" s="36" t="str">
        <f t="shared" si="3"/>
        <v>CNP</v>
      </c>
      <c r="I21" s="62">
        <f t="shared" si="4"/>
        <v>28.57</v>
      </c>
      <c r="J21" s="64">
        <v>4.05</v>
      </c>
      <c r="K21" s="64"/>
      <c r="L21" s="72">
        <f t="shared" si="5"/>
        <v>7.0543209876543216</v>
      </c>
      <c r="M21" s="59">
        <f t="shared" si="1"/>
        <v>0.1417570878543927</v>
      </c>
      <c r="N21" s="13"/>
    </row>
    <row r="22" spans="1:14" ht="17.5">
      <c r="A22" s="45" t="s">
        <v>48</v>
      </c>
      <c r="B22" s="36" t="s">
        <v>55</v>
      </c>
      <c r="C22" s="62">
        <f>+'S&amp;D'!G27</f>
        <v>58.07</v>
      </c>
      <c r="D22" s="64">
        <v>7.3</v>
      </c>
      <c r="E22" s="72">
        <f t="shared" si="2"/>
        <v>7.9547945205479458</v>
      </c>
      <c r="F22" s="59">
        <f t="shared" si="0"/>
        <v>0.1257103495780954</v>
      </c>
      <c r="G22" s="59"/>
      <c r="H22" s="36" t="str">
        <f t="shared" si="3"/>
        <v>CMS</v>
      </c>
      <c r="I22" s="62">
        <f t="shared" si="4"/>
        <v>58.07</v>
      </c>
      <c r="J22" s="64">
        <v>7.65</v>
      </c>
      <c r="K22" s="64"/>
      <c r="L22" s="72">
        <f t="shared" si="5"/>
        <v>7.5908496732026141</v>
      </c>
      <c r="M22" s="59">
        <f t="shared" si="1"/>
        <v>0.13173755811951093</v>
      </c>
      <c r="N22" s="13"/>
    </row>
    <row r="23" spans="1:14" ht="17.5">
      <c r="A23" s="45" t="s">
        <v>49</v>
      </c>
      <c r="B23" s="36" t="s">
        <v>56</v>
      </c>
      <c r="C23" s="62">
        <f>+'S&amp;D'!G28</f>
        <v>110.26</v>
      </c>
      <c r="D23" s="64">
        <v>15.3</v>
      </c>
      <c r="E23" s="72">
        <f t="shared" si="2"/>
        <v>7.2065359477124185</v>
      </c>
      <c r="F23" s="59">
        <f t="shared" si="0"/>
        <v>0.13876292399782333</v>
      </c>
      <c r="G23" s="59"/>
      <c r="H23" s="36" t="str">
        <f t="shared" si="3"/>
        <v>DTE</v>
      </c>
      <c r="I23" s="62">
        <f t="shared" si="4"/>
        <v>110.26</v>
      </c>
      <c r="J23" s="64">
        <v>16</v>
      </c>
      <c r="K23" s="64"/>
      <c r="L23" s="72">
        <f t="shared" si="5"/>
        <v>6.8912500000000003</v>
      </c>
      <c r="M23" s="59">
        <f t="shared" si="1"/>
        <v>0.14511155450752766</v>
      </c>
      <c r="N23" s="13"/>
    </row>
    <row r="24" spans="1:14" ht="17.5">
      <c r="A24" s="45" t="s">
        <v>74</v>
      </c>
      <c r="B24" s="36" t="s">
        <v>67</v>
      </c>
      <c r="C24" s="62">
        <f>+'S&amp;D'!G29</f>
        <v>97.04</v>
      </c>
      <c r="D24" s="64">
        <v>13.55</v>
      </c>
      <c r="E24" s="72">
        <f t="shared" ref="E24" si="6">C24/D24</f>
        <v>7.1616236162361622</v>
      </c>
      <c r="F24" s="59">
        <f t="shared" ref="F24" si="7">1/E24</f>
        <v>0.13963314097279472</v>
      </c>
      <c r="G24" s="59"/>
      <c r="H24" s="36" t="str">
        <f t="shared" si="3"/>
        <v>DUK</v>
      </c>
      <c r="I24" s="62">
        <f t="shared" si="4"/>
        <v>97.04</v>
      </c>
      <c r="J24" s="64">
        <v>13.9</v>
      </c>
      <c r="K24" s="64"/>
      <c r="L24" s="72">
        <f t="shared" si="5"/>
        <v>6.9812949640287769</v>
      </c>
      <c r="M24" s="59">
        <f t="shared" si="1"/>
        <v>0.14323990107172299</v>
      </c>
      <c r="N24" s="13"/>
    </row>
    <row r="25" spans="1:14" ht="17.5">
      <c r="A25" s="45" t="s">
        <v>68</v>
      </c>
      <c r="B25" s="36" t="s">
        <v>69</v>
      </c>
      <c r="C25" s="62">
        <f>+'S&amp;D'!G30</f>
        <v>101.19</v>
      </c>
      <c r="D25" s="64">
        <v>17.45</v>
      </c>
      <c r="E25" s="72">
        <f t="shared" ref="E25:E27" si="8">C25/D25</f>
        <v>5.7988538681948425</v>
      </c>
      <c r="F25" s="59">
        <f t="shared" ref="F25:F27" si="9">1/E25</f>
        <v>0.17244787034291925</v>
      </c>
      <c r="G25" s="59"/>
      <c r="H25" s="36" t="str">
        <f t="shared" si="3"/>
        <v>ETR</v>
      </c>
      <c r="I25" s="62">
        <f t="shared" si="4"/>
        <v>101.19</v>
      </c>
      <c r="J25" s="64">
        <v>18.399999999999999</v>
      </c>
      <c r="K25" s="64"/>
      <c r="L25" s="72">
        <f t="shared" si="5"/>
        <v>5.4994565217391305</v>
      </c>
      <c r="M25" s="59">
        <f t="shared" si="1"/>
        <v>0.18183614981717561</v>
      </c>
      <c r="N25" s="13"/>
    </row>
    <row r="26" spans="1:14" ht="17.5">
      <c r="A26" s="45" t="s">
        <v>312</v>
      </c>
      <c r="B26" s="36" t="s">
        <v>313</v>
      </c>
      <c r="C26" s="62">
        <f>+'S&amp;D'!G31</f>
        <v>52.2</v>
      </c>
      <c r="D26" s="64">
        <v>8.1999999999999993</v>
      </c>
      <c r="E26" s="72">
        <f t="shared" ref="E26" si="10">C26/D26</f>
        <v>6.3658536585365866</v>
      </c>
      <c r="F26" s="59">
        <f t="shared" ref="F26" si="11">1/E26</f>
        <v>0.15708812260536395</v>
      </c>
      <c r="G26" s="59"/>
      <c r="H26" s="36" t="str">
        <f t="shared" si="3"/>
        <v>EVRG</v>
      </c>
      <c r="I26" s="62">
        <f t="shared" si="4"/>
        <v>52.2</v>
      </c>
      <c r="J26" s="64">
        <v>8.5</v>
      </c>
      <c r="K26" s="64"/>
      <c r="L26" s="72">
        <f t="shared" ref="L26" si="12">I26/J26</f>
        <v>6.1411764705882357</v>
      </c>
      <c r="M26" s="59">
        <f t="shared" ref="M26" si="13">1/L26</f>
        <v>0.16283524904214558</v>
      </c>
      <c r="N26" s="13"/>
    </row>
    <row r="27" spans="1:14" ht="17.5">
      <c r="A27" s="45" t="s">
        <v>78</v>
      </c>
      <c r="B27" s="36" t="s">
        <v>79</v>
      </c>
      <c r="C27" s="62">
        <f>+'S&amp;D'!G32</f>
        <v>36.659999999999997</v>
      </c>
      <c r="D27" s="64">
        <v>4.95</v>
      </c>
      <c r="E27" s="72">
        <f t="shared" si="8"/>
        <v>7.4060606060606053</v>
      </c>
      <c r="F27" s="59">
        <f t="shared" si="9"/>
        <v>0.13502454991816695</v>
      </c>
      <c r="G27" s="59"/>
      <c r="H27" s="36" t="str">
        <f t="shared" si="3"/>
        <v>FE</v>
      </c>
      <c r="I27" s="62">
        <f t="shared" si="4"/>
        <v>36.659999999999997</v>
      </c>
      <c r="J27" s="64">
        <v>5.2</v>
      </c>
      <c r="K27" s="64"/>
      <c r="L27" s="72">
        <f t="shared" si="5"/>
        <v>7.0499999999999989</v>
      </c>
      <c r="M27" s="59">
        <f t="shared" si="1"/>
        <v>0.14184397163120568</v>
      </c>
      <c r="N27" s="13"/>
    </row>
    <row r="28" spans="1:14" ht="17.5">
      <c r="A28" s="45" t="s">
        <v>50</v>
      </c>
      <c r="B28" s="36" t="s">
        <v>57</v>
      </c>
      <c r="C28" s="62">
        <f>+'S&amp;D'!G33</f>
        <v>34.93</v>
      </c>
      <c r="D28" s="64">
        <v>4.75</v>
      </c>
      <c r="E28" s="72">
        <f t="shared" si="2"/>
        <v>7.3536842105263158</v>
      </c>
      <c r="F28" s="59">
        <f t="shared" si="0"/>
        <v>0.1359862582307472</v>
      </c>
      <c r="G28" s="59"/>
      <c r="H28" s="36" t="str">
        <f t="shared" si="3"/>
        <v>OGE</v>
      </c>
      <c r="I28" s="62">
        <f t="shared" si="4"/>
        <v>34.93</v>
      </c>
      <c r="J28" s="64">
        <v>5.05</v>
      </c>
      <c r="K28" s="64"/>
      <c r="L28" s="72">
        <f t="shared" si="5"/>
        <v>6.9168316831683168</v>
      </c>
      <c r="M28" s="59">
        <f t="shared" si="1"/>
        <v>0.14457486401374178</v>
      </c>
      <c r="N28" s="13"/>
    </row>
    <row r="29" spans="1:14" ht="17.5">
      <c r="A29" s="45" t="s">
        <v>51</v>
      </c>
      <c r="B29" s="36" t="s">
        <v>61</v>
      </c>
      <c r="C29" s="62">
        <f>+'S&amp;D'!G34</f>
        <v>84.97</v>
      </c>
      <c r="D29" s="64">
        <v>7.4</v>
      </c>
      <c r="E29" s="72">
        <f t="shared" si="2"/>
        <v>11.482432432432432</v>
      </c>
      <c r="F29" s="59">
        <f t="shared" si="0"/>
        <v>8.7089561021537018E-2</v>
      </c>
      <c r="G29" s="59"/>
      <c r="H29" s="36" t="str">
        <f t="shared" si="3"/>
        <v>OTTR</v>
      </c>
      <c r="I29" s="62">
        <f t="shared" si="4"/>
        <v>84.97</v>
      </c>
      <c r="J29" s="64">
        <v>6.45</v>
      </c>
      <c r="K29" s="64"/>
      <c r="L29" s="72">
        <f t="shared" si="5"/>
        <v>13.173643410852712</v>
      </c>
      <c r="M29" s="59">
        <f t="shared" si="1"/>
        <v>7.5909144403907267E-2</v>
      </c>
      <c r="N29" s="13"/>
    </row>
    <row r="30" spans="1:14" ht="17.5">
      <c r="A30" s="45" t="s">
        <v>70</v>
      </c>
      <c r="B30" s="36" t="s">
        <v>71</v>
      </c>
      <c r="C30" s="62">
        <f>+'S&amp;D'!G35</f>
        <v>27.1</v>
      </c>
      <c r="D30" s="64">
        <v>3.5</v>
      </c>
      <c r="E30" s="72">
        <f t="shared" ref="E30" si="14">C30/D30</f>
        <v>7.7428571428571429</v>
      </c>
      <c r="F30" s="59">
        <f t="shared" ref="F30" si="15">1/E30</f>
        <v>0.12915129151291513</v>
      </c>
      <c r="G30" s="59"/>
      <c r="H30" s="36" t="str">
        <f t="shared" si="3"/>
        <v>PPL</v>
      </c>
      <c r="I30" s="62">
        <f t="shared" si="4"/>
        <v>27.1</v>
      </c>
      <c r="J30" s="64">
        <v>3.6</v>
      </c>
      <c r="K30" s="64"/>
      <c r="L30" s="72">
        <f t="shared" si="5"/>
        <v>7.5277777777777777</v>
      </c>
      <c r="M30" s="59">
        <f t="shared" si="1"/>
        <v>0.13284132841328414</v>
      </c>
      <c r="N30" s="13"/>
    </row>
    <row r="31" spans="1:14" ht="17.5">
      <c r="A31" s="45" t="s">
        <v>72</v>
      </c>
      <c r="B31" s="36" t="s">
        <v>73</v>
      </c>
      <c r="C31" s="62">
        <f>+'S&amp;D'!G36</f>
        <v>70.12</v>
      </c>
      <c r="D31" s="64">
        <v>8</v>
      </c>
      <c r="E31" s="72">
        <f t="shared" ref="E31" si="16">C31/D31</f>
        <v>8.7650000000000006</v>
      </c>
      <c r="F31" s="59">
        <f t="shared" ref="F31" si="17">1/E31</f>
        <v>0.11409013120365087</v>
      </c>
      <c r="G31" s="59"/>
      <c r="H31" s="36" t="str">
        <f t="shared" si="3"/>
        <v>SO</v>
      </c>
      <c r="I31" s="62">
        <f t="shared" si="4"/>
        <v>70.12</v>
      </c>
      <c r="J31" s="64">
        <v>8.3000000000000007</v>
      </c>
      <c r="K31" s="64"/>
      <c r="L31" s="72">
        <f t="shared" si="5"/>
        <v>8.4481927710843365</v>
      </c>
      <c r="M31" s="59">
        <f t="shared" si="1"/>
        <v>0.11836851112378781</v>
      </c>
      <c r="N31" s="13"/>
    </row>
    <row r="32" spans="1:14" ht="17.5">
      <c r="A32" s="45" t="s">
        <v>52</v>
      </c>
      <c r="B32" s="36" t="s">
        <v>62</v>
      </c>
      <c r="C32" s="62">
        <f>+'S&amp;D'!G37</f>
        <v>84.17</v>
      </c>
      <c r="D32" s="64">
        <v>9.35</v>
      </c>
      <c r="E32" s="72">
        <f t="shared" si="2"/>
        <v>9.0021390374331549</v>
      </c>
      <c r="F32" s="59">
        <f t="shared" si="0"/>
        <v>0.1110847095164548</v>
      </c>
      <c r="G32" s="59"/>
      <c r="H32" s="36" t="str">
        <f t="shared" si="3"/>
        <v>WEC</v>
      </c>
      <c r="I32" s="62">
        <f t="shared" si="4"/>
        <v>84.17</v>
      </c>
      <c r="J32" s="64">
        <v>10.15</v>
      </c>
      <c r="K32" s="64"/>
      <c r="L32" s="72">
        <f t="shared" si="5"/>
        <v>8.2926108374384242</v>
      </c>
      <c r="M32" s="59">
        <f t="shared" si="1"/>
        <v>0.120589283592729</v>
      </c>
      <c r="N32" s="13"/>
    </row>
    <row r="33" spans="1:14" ht="17.5" thickBot="1">
      <c r="A33" s="13"/>
      <c r="B33" s="73"/>
      <c r="C33" s="73"/>
      <c r="D33" s="73"/>
      <c r="E33" s="73"/>
      <c r="F33" s="73"/>
      <c r="G33" s="13"/>
      <c r="H33" s="73"/>
      <c r="I33" s="73"/>
      <c r="J33" s="73"/>
      <c r="K33" s="73"/>
      <c r="L33" s="73"/>
      <c r="M33" s="73"/>
      <c r="N33" s="13"/>
    </row>
    <row r="34" spans="1:14" ht="17.5" thickTop="1">
      <c r="A34" s="13"/>
      <c r="C34" s="15" t="s">
        <v>65</v>
      </c>
      <c r="D34" s="325">
        <f>MAX(D17:D32)</f>
        <v>17.45</v>
      </c>
      <c r="E34" s="325">
        <f t="shared" ref="E34:F34" si="18">MAX(E17:E32)</f>
        <v>11.482432432432432</v>
      </c>
      <c r="F34" s="311">
        <f t="shared" si="18"/>
        <v>0.17244787034291925</v>
      </c>
      <c r="I34" s="15" t="s">
        <v>65</v>
      </c>
      <c r="J34" s="325">
        <f t="shared" ref="J34:M34" si="19">MAX(J17:J32)</f>
        <v>18.399999999999999</v>
      </c>
      <c r="K34" s="325"/>
      <c r="L34" s="325">
        <f t="shared" si="19"/>
        <v>13.173643410852712</v>
      </c>
      <c r="M34" s="311">
        <f t="shared" si="19"/>
        <v>0.18183614981717561</v>
      </c>
      <c r="N34" s="13"/>
    </row>
    <row r="35" spans="1:14" ht="17">
      <c r="A35" s="13"/>
      <c r="C35" s="15" t="s">
        <v>66</v>
      </c>
      <c r="D35" s="328">
        <f>MIN(D17:D32)</f>
        <v>3.5</v>
      </c>
      <c r="E35" s="328">
        <f t="shared" ref="E35:F35" si="20">MIN(E17:E32)</f>
        <v>5.7988538681948425</v>
      </c>
      <c r="F35" s="312">
        <f t="shared" si="20"/>
        <v>8.7089561021537018E-2</v>
      </c>
      <c r="I35" s="15" t="s">
        <v>66</v>
      </c>
      <c r="J35" s="328">
        <f t="shared" ref="J35:M35" si="21">MIN(J17:J32)</f>
        <v>3.6</v>
      </c>
      <c r="K35" s="328"/>
      <c r="L35" s="328">
        <f t="shared" si="21"/>
        <v>5.4994565217391305</v>
      </c>
      <c r="M35" s="312">
        <f t="shared" si="21"/>
        <v>7.5909144403907267E-2</v>
      </c>
      <c r="N35" s="13"/>
    </row>
    <row r="36" spans="1:14" ht="17">
      <c r="A36" s="13"/>
      <c r="C36" s="15" t="s">
        <v>18</v>
      </c>
      <c r="D36" s="74">
        <f>MEDIAN(D17:D32)</f>
        <v>8.1</v>
      </c>
      <c r="E36" s="22">
        <f>MEDIAN(E17:E32)</f>
        <v>7.3873676524278924</v>
      </c>
      <c r="F36" s="59">
        <f>MEDIAN(F17:F32)</f>
        <v>0.13536708202252365</v>
      </c>
      <c r="I36" s="15" t="s">
        <v>18</v>
      </c>
      <c r="J36" s="74">
        <f>MEDIAN(J17:J32)</f>
        <v>8.4</v>
      </c>
      <c r="K36" s="74"/>
      <c r="L36" s="22">
        <f>MEDIAN(L17:L32)</f>
        <v>7.0156474820143879</v>
      </c>
      <c r="M36" s="59">
        <f>MEDIAN(M17:M32)</f>
        <v>0.14254193635146434</v>
      </c>
      <c r="N36" s="13"/>
    </row>
    <row r="37" spans="1:14" ht="17">
      <c r="A37" s="13"/>
      <c r="C37" s="15" t="s">
        <v>441</v>
      </c>
      <c r="D37" s="18">
        <f>AVERAGE(D17:D32)</f>
        <v>8.734375</v>
      </c>
      <c r="E37" s="22">
        <f>AVERAGE(E17:E32)</f>
        <v>7.7460925522167683</v>
      </c>
      <c r="F37" s="75">
        <f>AVERAGE(F17:F32)</f>
        <v>0.13224677395178641</v>
      </c>
      <c r="I37" s="15" t="s">
        <v>441</v>
      </c>
      <c r="J37" s="18">
        <f>AVERAGE(J17:J32)</f>
        <v>9.0875000000000004</v>
      </c>
      <c r="K37" s="18"/>
      <c r="L37" s="22">
        <f>AVERAGE(L17:L32)</f>
        <v>7.5219404038794053</v>
      </c>
      <c r="M37" s="75">
        <f>AVERAGE(M17:M32)</f>
        <v>0.13779712417569465</v>
      </c>
      <c r="N37" s="13"/>
    </row>
    <row r="38" spans="1:14" ht="17">
      <c r="A38" s="13"/>
      <c r="B38" s="13"/>
      <c r="C38" s="13"/>
      <c r="D38" s="13"/>
      <c r="E38" s="13"/>
      <c r="F38" s="13"/>
      <c r="H38" s="13"/>
      <c r="I38" s="13"/>
      <c r="J38" s="13"/>
      <c r="K38" s="13"/>
      <c r="L38" s="13"/>
      <c r="M38" s="13"/>
      <c r="N38" s="13"/>
    </row>
    <row r="39" spans="1:14" ht="25.5">
      <c r="A39" s="13"/>
      <c r="B39" s="13"/>
      <c r="C39" s="13"/>
      <c r="D39" s="79" t="s">
        <v>108</v>
      </c>
      <c r="E39" s="388">
        <v>7.75</v>
      </c>
      <c r="F39" s="343">
        <v>0.13220000000000001</v>
      </c>
      <c r="H39" s="13"/>
      <c r="I39" s="13"/>
      <c r="J39" s="79" t="s">
        <v>108</v>
      </c>
      <c r="K39" s="51"/>
      <c r="L39" s="389">
        <v>7.52</v>
      </c>
      <c r="M39" s="343">
        <v>0.13780000000000001</v>
      </c>
      <c r="N39" s="13"/>
    </row>
    <row r="40" spans="1:14" ht="17.5" thickBot="1">
      <c r="A40" s="13"/>
      <c r="B40" s="13"/>
      <c r="C40" s="13"/>
      <c r="D40" s="13"/>
      <c r="E40" s="13"/>
      <c r="F40" s="76" t="s">
        <v>0</v>
      </c>
      <c r="G40" s="76"/>
      <c r="H40" s="13"/>
      <c r="I40" s="13"/>
      <c r="J40" s="13"/>
      <c r="K40" s="13"/>
      <c r="L40" s="13"/>
      <c r="M40" s="13"/>
      <c r="N40" s="13"/>
    </row>
    <row r="41" spans="1:14" ht="26" thickBot="1">
      <c r="A41" s="77" t="s">
        <v>0</v>
      </c>
      <c r="B41" s="13"/>
      <c r="C41" s="13"/>
      <c r="D41" s="13"/>
      <c r="E41" s="25" t="s">
        <v>158</v>
      </c>
      <c r="F41" s="25"/>
      <c r="G41" s="390">
        <f>(+E39+L39)/2</f>
        <v>7.6349999999999998</v>
      </c>
      <c r="H41" s="379">
        <f>(+F39+M39)/2</f>
        <v>0.13500000000000001</v>
      </c>
      <c r="N41" s="13"/>
    </row>
    <row r="42" spans="1:14" ht="25.5">
      <c r="A42" s="77"/>
      <c r="B42" s="13"/>
      <c r="C42" s="13"/>
      <c r="D42" s="13"/>
      <c r="E42" s="25"/>
      <c r="F42" s="25"/>
      <c r="G42" s="345"/>
      <c r="H42" s="346"/>
      <c r="N42" s="13"/>
    </row>
    <row r="43" spans="1:14" ht="17">
      <c r="B43" s="13"/>
      <c r="C43" s="13"/>
      <c r="D43" s="13"/>
      <c r="E43" s="13"/>
      <c r="F43" s="13"/>
      <c r="G43" s="13"/>
      <c r="H43" s="13"/>
      <c r="I43" s="13"/>
      <c r="J43" s="13"/>
      <c r="K43" s="13"/>
      <c r="L43" s="13"/>
      <c r="M43" s="13"/>
      <c r="N43" s="13"/>
    </row>
    <row r="44" spans="1:14" ht="17">
      <c r="A44" s="13"/>
      <c r="B44" s="13"/>
      <c r="C44" s="13"/>
      <c r="D44" s="13"/>
      <c r="E44" s="13"/>
      <c r="F44" s="13"/>
      <c r="G44" s="13"/>
      <c r="H44" s="13"/>
      <c r="I44" s="13"/>
      <c r="J44" s="13"/>
      <c r="K44" s="13"/>
      <c r="L44" s="13"/>
      <c r="M44" s="13"/>
      <c r="N44" s="13"/>
    </row>
    <row r="45" spans="1:14" ht="17">
      <c r="A45" s="13"/>
      <c r="B45" s="13"/>
      <c r="C45" s="13"/>
      <c r="D45" s="13"/>
      <c r="E45" s="13"/>
      <c r="F45" s="13"/>
      <c r="G45" s="13"/>
      <c r="H45" s="13"/>
      <c r="I45" s="13"/>
      <c r="J45" s="13"/>
      <c r="K45" s="13"/>
      <c r="L45" s="13"/>
      <c r="M45" s="13"/>
      <c r="N45" s="13"/>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77"/>
  <sheetViews>
    <sheetView view="pageBreakPreview" topLeftCell="A20" zoomScale="60" zoomScaleNormal="80" workbookViewId="0">
      <selection activeCell="K66" sqref="K66"/>
    </sheetView>
  </sheetViews>
  <sheetFormatPr defaultRowHeight="14.5"/>
  <cols>
    <col min="1" max="1" width="44.1796875" customWidth="1"/>
    <col min="2" max="2" width="14.453125" customWidth="1"/>
    <col min="3" max="3" width="12.26953125" bestFit="1" customWidth="1"/>
    <col min="4" max="4" width="23.7265625" customWidth="1"/>
    <col min="5" max="5" width="21.26953125" customWidth="1"/>
    <col min="6" max="6" width="19" customWidth="1"/>
    <col min="7" max="7" width="16.453125" customWidth="1"/>
    <col min="8" max="10" width="19.26953125" customWidth="1"/>
    <col min="11" max="12" width="21.54296875" customWidth="1"/>
    <col min="13" max="13" width="18.26953125" customWidth="1"/>
  </cols>
  <sheetData>
    <row r="1" spans="1:15" ht="25.5">
      <c r="A1" s="25" t="s">
        <v>1</v>
      </c>
      <c r="B1" s="25"/>
      <c r="C1" s="13"/>
      <c r="D1" s="13"/>
      <c r="E1" s="13"/>
      <c r="F1" s="13"/>
      <c r="G1" s="13"/>
      <c r="H1" s="13"/>
      <c r="I1" s="13"/>
      <c r="J1" s="13"/>
      <c r="K1" s="13"/>
      <c r="L1" s="13"/>
      <c r="M1" s="13"/>
      <c r="N1" s="13"/>
      <c r="O1" s="13"/>
    </row>
    <row r="2" spans="1:15" ht="17.5">
      <c r="A2" s="65" t="s">
        <v>9</v>
      </c>
      <c r="B2" s="65"/>
      <c r="C2" s="13"/>
      <c r="D2" s="13"/>
      <c r="E2" s="13"/>
      <c r="F2" s="13"/>
      <c r="G2" s="13"/>
      <c r="H2" s="13"/>
      <c r="I2" s="13"/>
      <c r="J2" s="13"/>
      <c r="K2" s="13"/>
      <c r="L2" s="13"/>
      <c r="M2" s="13"/>
      <c r="N2" s="13"/>
      <c r="O2" s="13"/>
    </row>
    <row r="3" spans="1:15" ht="17">
      <c r="A3" s="27" t="s">
        <v>483</v>
      </c>
      <c r="B3" s="45"/>
      <c r="C3" s="13"/>
      <c r="D3" s="13"/>
      <c r="E3" s="13"/>
      <c r="F3" s="13"/>
      <c r="G3" s="13"/>
      <c r="H3" s="13"/>
      <c r="I3" s="13"/>
      <c r="J3" s="13"/>
      <c r="K3" s="13"/>
      <c r="L3" s="13"/>
      <c r="M3" s="13"/>
      <c r="N3" s="13"/>
      <c r="O3" s="13"/>
    </row>
    <row r="4" spans="1:15" ht="17">
      <c r="A4" s="13"/>
      <c r="B4" s="13"/>
      <c r="C4" s="13"/>
      <c r="D4" s="13"/>
      <c r="E4" s="28" t="s">
        <v>0</v>
      </c>
      <c r="F4" s="13"/>
      <c r="G4" s="13"/>
      <c r="H4" s="13"/>
      <c r="I4" s="13"/>
      <c r="J4" s="13"/>
      <c r="K4" s="13"/>
      <c r="L4" s="13"/>
      <c r="M4" s="13"/>
      <c r="N4" s="13"/>
      <c r="O4" s="13"/>
    </row>
    <row r="5" spans="1:15" ht="18" thickBot="1">
      <c r="A5" s="65"/>
      <c r="B5" s="65"/>
      <c r="C5" s="13"/>
      <c r="D5" s="13"/>
      <c r="E5" s="13"/>
      <c r="F5" s="13"/>
      <c r="G5" s="13"/>
      <c r="H5" s="13"/>
      <c r="I5" s="13"/>
      <c r="J5" s="13"/>
      <c r="K5" s="13"/>
      <c r="L5" s="13"/>
      <c r="M5" s="13"/>
      <c r="N5" s="13"/>
      <c r="O5" s="13"/>
    </row>
    <row r="6" spans="1:15" ht="21.5" thickBot="1">
      <c r="A6" s="275" t="str">
        <f>+'S&amp;D'!A12</f>
        <v>Electric Utilities</v>
      </c>
      <c r="B6" s="278"/>
      <c r="C6" s="13"/>
      <c r="D6" s="13"/>
      <c r="E6" s="13"/>
      <c r="F6" s="13"/>
      <c r="G6" s="13"/>
      <c r="H6" s="13"/>
      <c r="I6" s="13"/>
      <c r="J6" s="13"/>
      <c r="K6" s="13"/>
      <c r="L6" s="13"/>
      <c r="M6" s="13"/>
      <c r="N6" s="13"/>
      <c r="O6" s="13"/>
    </row>
    <row r="7" spans="1:15" ht="18" thickBot="1">
      <c r="A7" s="65"/>
      <c r="B7" s="65"/>
      <c r="C7" s="30"/>
      <c r="D7" s="30"/>
      <c r="E7" s="30"/>
      <c r="F7" s="30"/>
      <c r="G7" s="30"/>
      <c r="H7" s="13"/>
      <c r="I7" s="30"/>
      <c r="J7" s="30"/>
      <c r="K7" s="30"/>
      <c r="L7" s="30"/>
      <c r="M7" s="30"/>
      <c r="N7" s="13"/>
      <c r="O7" s="13"/>
    </row>
    <row r="8" spans="1:15" ht="25.5">
      <c r="B8" s="32"/>
      <c r="C8" s="13"/>
      <c r="D8" s="13"/>
      <c r="E8" s="33" t="s">
        <v>270</v>
      </c>
      <c r="F8" s="13"/>
      <c r="G8" s="13"/>
      <c r="H8" s="13"/>
      <c r="I8" s="13"/>
      <c r="J8" s="13"/>
      <c r="K8" s="33" t="s">
        <v>271</v>
      </c>
      <c r="L8" s="13"/>
      <c r="M8" s="13"/>
      <c r="N8" s="13"/>
      <c r="O8" s="13"/>
    </row>
    <row r="9" spans="1:15" ht="21.5" thickBot="1">
      <c r="A9" s="32"/>
      <c r="B9" s="32"/>
      <c r="C9" s="30"/>
      <c r="D9" s="30"/>
      <c r="E9" s="34" t="s">
        <v>484</v>
      </c>
      <c r="F9" s="30"/>
      <c r="G9" s="30"/>
      <c r="H9" s="13"/>
      <c r="I9" s="30"/>
      <c r="J9" s="30"/>
      <c r="K9" s="34" t="s">
        <v>484</v>
      </c>
      <c r="L9" s="30"/>
      <c r="M9" s="30"/>
      <c r="N9" s="13"/>
      <c r="O9" s="13"/>
    </row>
    <row r="10" spans="1:15" ht="17.5" thickBot="1">
      <c r="A10" s="35" t="s">
        <v>0</v>
      </c>
      <c r="B10" s="35"/>
      <c r="C10" s="35" t="s">
        <v>0</v>
      </c>
      <c r="D10" s="35" t="s">
        <v>0</v>
      </c>
      <c r="E10" s="35" t="s">
        <v>0</v>
      </c>
      <c r="F10" s="35" t="s">
        <v>0</v>
      </c>
      <c r="G10" s="35" t="s">
        <v>0</v>
      </c>
      <c r="H10" s="13"/>
      <c r="I10" s="30"/>
      <c r="J10" s="30"/>
      <c r="K10" s="30"/>
      <c r="L10" s="30"/>
      <c r="M10" s="30"/>
      <c r="N10" s="13"/>
      <c r="O10" s="13"/>
    </row>
    <row r="11" spans="1:15" ht="17">
      <c r="A11" s="36" t="s">
        <v>0</v>
      </c>
      <c r="B11" s="36"/>
      <c r="C11" s="36" t="s">
        <v>3</v>
      </c>
      <c r="D11" s="36" t="s">
        <v>0</v>
      </c>
      <c r="E11" s="36" t="s">
        <v>145</v>
      </c>
      <c r="F11" s="36" t="s">
        <v>145</v>
      </c>
      <c r="G11" s="36" t="s">
        <v>27</v>
      </c>
      <c r="H11" s="13"/>
      <c r="I11" s="36" t="s">
        <v>3</v>
      </c>
      <c r="J11" s="36" t="s">
        <v>0</v>
      </c>
      <c r="K11" s="36" t="s">
        <v>145</v>
      </c>
      <c r="L11" s="36" t="s">
        <v>145</v>
      </c>
      <c r="M11" s="36" t="s">
        <v>27</v>
      </c>
      <c r="N11" s="13"/>
      <c r="O11" s="13"/>
    </row>
    <row r="12" spans="1:15" ht="17.5" thickBot="1">
      <c r="A12" s="38" t="s">
        <v>2</v>
      </c>
      <c r="B12" s="38"/>
      <c r="C12" s="38" t="s">
        <v>4</v>
      </c>
      <c r="D12" s="38" t="s">
        <v>28</v>
      </c>
      <c r="E12" s="38" t="s">
        <v>208</v>
      </c>
      <c r="F12" s="38" t="s">
        <v>29</v>
      </c>
      <c r="G12" s="38" t="s">
        <v>30</v>
      </c>
      <c r="H12" s="13"/>
      <c r="I12" s="38" t="s">
        <v>4</v>
      </c>
      <c r="J12" s="38" t="s">
        <v>28</v>
      </c>
      <c r="K12" s="38" t="s">
        <v>208</v>
      </c>
      <c r="L12" s="38" t="s">
        <v>29</v>
      </c>
      <c r="M12" s="38" t="s">
        <v>30</v>
      </c>
      <c r="N12" s="13"/>
      <c r="O12" s="13"/>
    </row>
    <row r="13" spans="1:15" ht="17">
      <c r="A13" s="40" t="s">
        <v>0</v>
      </c>
      <c r="B13" s="40"/>
      <c r="C13" s="40" t="s">
        <v>0</v>
      </c>
      <c r="D13" s="41" t="s">
        <v>147</v>
      </c>
      <c r="E13" s="78" t="s">
        <v>148</v>
      </c>
      <c r="F13" s="40" t="s">
        <v>0</v>
      </c>
      <c r="G13" s="40" t="s">
        <v>0</v>
      </c>
      <c r="H13" s="13"/>
      <c r="I13" s="40" t="s">
        <v>0</v>
      </c>
      <c r="J13" s="41" t="s">
        <v>147</v>
      </c>
      <c r="K13" s="78" t="s">
        <v>146</v>
      </c>
      <c r="L13" s="40" t="s">
        <v>0</v>
      </c>
      <c r="M13" s="40" t="s">
        <v>0</v>
      </c>
      <c r="N13" s="13"/>
      <c r="O13" s="13"/>
    </row>
    <row r="14" spans="1:15" ht="17">
      <c r="A14" s="36"/>
      <c r="B14" s="36"/>
      <c r="C14" s="36"/>
      <c r="D14" s="36"/>
      <c r="E14" s="36"/>
      <c r="F14" s="36"/>
      <c r="G14" s="36"/>
      <c r="H14" s="13"/>
      <c r="I14" s="36"/>
      <c r="J14" s="36"/>
      <c r="K14" s="36"/>
      <c r="L14" s="36"/>
      <c r="M14" s="36"/>
      <c r="N14" s="13"/>
      <c r="O14" s="13"/>
    </row>
    <row r="15" spans="1:15" ht="17">
      <c r="A15" s="13"/>
      <c r="B15" s="13"/>
      <c r="C15" s="13"/>
      <c r="D15" s="13"/>
      <c r="E15" s="13"/>
      <c r="F15" s="13"/>
      <c r="G15" s="13"/>
      <c r="H15" s="13"/>
      <c r="I15" s="13"/>
      <c r="J15" s="13"/>
      <c r="K15" s="13"/>
      <c r="L15" s="13"/>
      <c r="M15" s="13"/>
      <c r="N15" s="13"/>
      <c r="O15" s="13"/>
    </row>
    <row r="16" spans="1:15" ht="17.5">
      <c r="A16" s="45" t="str">
        <f>+'S&amp;D'!A22</f>
        <v>ALLETE Inc</v>
      </c>
      <c r="B16" s="45"/>
      <c r="C16" s="36" t="str">
        <f>+'S&amp;D'!B22</f>
        <v>ALE</v>
      </c>
      <c r="D16" s="62">
        <f>'S&amp;D'!G22</f>
        <v>61.16</v>
      </c>
      <c r="E16" s="64">
        <v>3.9</v>
      </c>
      <c r="F16" s="72">
        <f>D16/E16</f>
        <v>15.682051282051281</v>
      </c>
      <c r="G16" s="59">
        <f t="shared" ref="G16:G26" si="0">1/F16</f>
        <v>6.3767168083714854E-2</v>
      </c>
      <c r="H16" s="13"/>
      <c r="I16" s="36" t="s">
        <v>53</v>
      </c>
      <c r="J16" s="62">
        <f>+D16</f>
        <v>61.16</v>
      </c>
      <c r="K16" s="64">
        <v>4.25</v>
      </c>
      <c r="L16" s="72">
        <f>J16/K16</f>
        <v>14.390588235294118</v>
      </c>
      <c r="M16" s="59">
        <f t="shared" ref="M16:M26" si="1">1/L16</f>
        <v>6.9489862655330276E-2</v>
      </c>
      <c r="N16" s="13"/>
      <c r="O16" s="13"/>
    </row>
    <row r="17" spans="1:15" ht="17.5">
      <c r="A17" s="45" t="str">
        <f>+'S&amp;D'!A23</f>
        <v>Alliant Energy</v>
      </c>
      <c r="B17" s="45"/>
      <c r="C17" s="36" t="str">
        <f>+'S&amp;D'!B23</f>
        <v>LNT</v>
      </c>
      <c r="D17" s="62">
        <f>'S&amp;D'!G23</f>
        <v>51.3</v>
      </c>
      <c r="E17" s="64">
        <v>3.05</v>
      </c>
      <c r="F17" s="72">
        <f t="shared" ref="F17:F26" si="2">D17/E17</f>
        <v>16.819672131147541</v>
      </c>
      <c r="G17" s="59">
        <f t="shared" si="0"/>
        <v>5.9454191033138398E-2</v>
      </c>
      <c r="H17" s="13"/>
      <c r="I17" s="36" t="s">
        <v>54</v>
      </c>
      <c r="J17" s="62">
        <f t="shared" ref="J17:J26" si="3">+D17</f>
        <v>51.3</v>
      </c>
      <c r="K17" s="64">
        <v>3.25</v>
      </c>
      <c r="L17" s="72">
        <f t="shared" ref="L17:L26" si="4">J17/K17</f>
        <v>15.784615384615384</v>
      </c>
      <c r="M17" s="59">
        <f t="shared" si="1"/>
        <v>6.3352826510721258E-2</v>
      </c>
      <c r="N17" s="13"/>
      <c r="O17" s="13"/>
    </row>
    <row r="18" spans="1:15" ht="17.5">
      <c r="A18" s="45" t="str">
        <f>+'S&amp;D'!A24</f>
        <v>AMEREN Corporation</v>
      </c>
      <c r="B18" s="45"/>
      <c r="C18" s="36" t="str">
        <f>+'S&amp;D'!B24</f>
        <v>AEE</v>
      </c>
      <c r="D18" s="62">
        <f>'S&amp;D'!G24</f>
        <v>72.34</v>
      </c>
      <c r="E18" s="64">
        <v>4.5999999999999996</v>
      </c>
      <c r="F18" s="72">
        <f t="shared" si="2"/>
        <v>15.72608695652174</v>
      </c>
      <c r="G18" s="59">
        <f t="shared" si="0"/>
        <v>6.3588609344760849E-2</v>
      </c>
      <c r="H18" s="13"/>
      <c r="I18" s="36" t="s">
        <v>58</v>
      </c>
      <c r="J18" s="62">
        <f t="shared" si="3"/>
        <v>72.34</v>
      </c>
      <c r="K18" s="64">
        <v>4.9000000000000004</v>
      </c>
      <c r="L18" s="72">
        <f t="shared" si="4"/>
        <v>14.763265306122449</v>
      </c>
      <c r="M18" s="59">
        <f t="shared" si="1"/>
        <v>6.7735692562897423E-2</v>
      </c>
      <c r="N18" s="13"/>
      <c r="O18" s="13"/>
    </row>
    <row r="19" spans="1:15" ht="17.5">
      <c r="A19" s="45" t="str">
        <f>+'S&amp;D'!A25</f>
        <v>American Electric Power</v>
      </c>
      <c r="B19" s="45"/>
      <c r="C19" s="36" t="str">
        <f>+'S&amp;D'!B25</f>
        <v>AEP</v>
      </c>
      <c r="D19" s="62">
        <f>'S&amp;D'!G25</f>
        <v>81.22</v>
      </c>
      <c r="E19" s="64">
        <v>5.6</v>
      </c>
      <c r="F19" s="72">
        <f>D19/E19</f>
        <v>14.50357142857143</v>
      </c>
      <c r="G19" s="59">
        <f t="shared" si="0"/>
        <v>6.8948534843634571E-2</v>
      </c>
      <c r="H19" s="13"/>
      <c r="I19" s="36" t="s">
        <v>59</v>
      </c>
      <c r="J19" s="62">
        <f t="shared" si="3"/>
        <v>81.22</v>
      </c>
      <c r="K19" s="64">
        <v>6</v>
      </c>
      <c r="L19" s="72">
        <f t="shared" si="4"/>
        <v>13.536666666666667</v>
      </c>
      <c r="M19" s="59">
        <f t="shared" si="1"/>
        <v>7.3873430189608472E-2</v>
      </c>
      <c r="N19" s="13"/>
      <c r="O19" s="13"/>
    </row>
    <row r="20" spans="1:15" ht="17.5">
      <c r="A20" s="45" t="str">
        <f>+'S&amp;D'!A26</f>
        <v>Centerpoint Energy</v>
      </c>
      <c r="B20" s="45"/>
      <c r="C20" s="36" t="str">
        <f>+'S&amp;D'!B26</f>
        <v>CNP</v>
      </c>
      <c r="D20" s="62">
        <f>'S&amp;D'!G26</f>
        <v>28.57</v>
      </c>
      <c r="E20" s="64">
        <v>1.48</v>
      </c>
      <c r="F20" s="72">
        <f t="shared" si="2"/>
        <v>19.304054054054056</v>
      </c>
      <c r="G20" s="59">
        <f t="shared" si="0"/>
        <v>5.1802590129506471E-2</v>
      </c>
      <c r="H20" s="13"/>
      <c r="I20" s="36" t="s">
        <v>60</v>
      </c>
      <c r="J20" s="62">
        <f t="shared" si="3"/>
        <v>28.57</v>
      </c>
      <c r="K20" s="64">
        <v>1.6</v>
      </c>
      <c r="L20" s="72">
        <f t="shared" si="4"/>
        <v>17.856249999999999</v>
      </c>
      <c r="M20" s="59">
        <f t="shared" si="1"/>
        <v>5.6002800140007004E-2</v>
      </c>
      <c r="N20" s="13"/>
      <c r="O20" s="13"/>
    </row>
    <row r="21" spans="1:15" ht="17.5">
      <c r="A21" s="45" t="str">
        <f>+'S&amp;D'!A27</f>
        <v>CMS Energy</v>
      </c>
      <c r="B21" s="45"/>
      <c r="C21" s="36" t="str">
        <f>+'S&amp;D'!B27</f>
        <v>CMS</v>
      </c>
      <c r="D21" s="62">
        <f>'S&amp;D'!G27</f>
        <v>58.07</v>
      </c>
      <c r="E21" s="64">
        <v>3.25</v>
      </c>
      <c r="F21" s="72">
        <f t="shared" si="2"/>
        <v>17.867692307692309</v>
      </c>
      <c r="G21" s="59">
        <f t="shared" si="0"/>
        <v>5.5966936456001377E-2</v>
      </c>
      <c r="H21" s="13"/>
      <c r="I21" s="36" t="s">
        <v>55</v>
      </c>
      <c r="J21" s="62">
        <f t="shared" si="3"/>
        <v>58.07</v>
      </c>
      <c r="K21" s="64">
        <v>3.45</v>
      </c>
      <c r="L21" s="72">
        <f t="shared" si="4"/>
        <v>16.831884057971013</v>
      </c>
      <c r="M21" s="59">
        <f t="shared" si="1"/>
        <v>5.9411055622524543E-2</v>
      </c>
      <c r="N21" s="13"/>
      <c r="O21" s="13"/>
    </row>
    <row r="22" spans="1:15" ht="17.5">
      <c r="A22" s="45" t="str">
        <f>+'S&amp;D'!A28</f>
        <v>DTE Energy</v>
      </c>
      <c r="B22" s="45"/>
      <c r="C22" s="36" t="str">
        <f>+'S&amp;D'!B28</f>
        <v>DTE</v>
      </c>
      <c r="D22" s="62">
        <f>'S&amp;D'!G28</f>
        <v>110.26</v>
      </c>
      <c r="E22" s="64">
        <v>6.8</v>
      </c>
      <c r="F22" s="72">
        <f t="shared" si="2"/>
        <v>16.214705882352941</v>
      </c>
      <c r="G22" s="59">
        <f t="shared" si="0"/>
        <v>6.1672410665699257E-2</v>
      </c>
      <c r="H22" s="13"/>
      <c r="I22" s="36" t="s">
        <v>56</v>
      </c>
      <c r="J22" s="62">
        <f t="shared" si="3"/>
        <v>110.26</v>
      </c>
      <c r="K22" s="64">
        <v>7.2</v>
      </c>
      <c r="L22" s="72">
        <f t="shared" si="4"/>
        <v>15.31388888888889</v>
      </c>
      <c r="M22" s="59">
        <f t="shared" si="1"/>
        <v>6.5300199528387448E-2</v>
      </c>
      <c r="N22" s="13"/>
      <c r="O22" s="13"/>
    </row>
    <row r="23" spans="1:15" ht="17.5">
      <c r="A23" s="45" t="str">
        <f>+'S&amp;D'!A29</f>
        <v>Duke Energy</v>
      </c>
      <c r="B23" s="45"/>
      <c r="C23" s="36" t="str">
        <f>+'S&amp;D'!B29</f>
        <v>DUK</v>
      </c>
      <c r="D23" s="62">
        <f>'S&amp;D'!G29</f>
        <v>97.04</v>
      </c>
      <c r="E23" s="64">
        <v>6</v>
      </c>
      <c r="F23" s="72">
        <f t="shared" si="2"/>
        <v>16.173333333333336</v>
      </c>
      <c r="G23" s="59">
        <f t="shared" si="0"/>
        <v>6.1830173124484737E-2</v>
      </c>
      <c r="H23" s="13"/>
      <c r="I23" s="36" t="s">
        <v>67</v>
      </c>
      <c r="J23" s="62">
        <f t="shared" si="3"/>
        <v>97.04</v>
      </c>
      <c r="K23" s="64">
        <v>6.35</v>
      </c>
      <c r="L23" s="72">
        <f t="shared" si="4"/>
        <v>15.28188976377953</v>
      </c>
      <c r="M23" s="59">
        <f t="shared" si="1"/>
        <v>6.5436933223413013E-2</v>
      </c>
      <c r="N23" s="13"/>
      <c r="O23" s="13"/>
    </row>
    <row r="24" spans="1:15" ht="17.5">
      <c r="A24" s="45" t="str">
        <f>+'S&amp;D'!A30</f>
        <v>Entergy Corp</v>
      </c>
      <c r="B24" s="45"/>
      <c r="C24" s="36" t="str">
        <f>+'S&amp;D'!B30</f>
        <v>ETR</v>
      </c>
      <c r="D24" s="62">
        <f>'S&amp;D'!G30</f>
        <v>101.19</v>
      </c>
      <c r="E24" s="64">
        <v>6.45</v>
      </c>
      <c r="F24" s="72">
        <f t="shared" si="2"/>
        <v>15.688372093023254</v>
      </c>
      <c r="G24" s="59">
        <f t="shared" si="0"/>
        <v>6.3741476430477326E-2</v>
      </c>
      <c r="H24" s="13"/>
      <c r="I24" s="36" t="s">
        <v>69</v>
      </c>
      <c r="J24" s="62">
        <f>+D24</f>
        <v>101.19</v>
      </c>
      <c r="K24" s="64">
        <v>6.85</v>
      </c>
      <c r="L24" s="72">
        <f>J24/K24</f>
        <v>14.772262773722629</v>
      </c>
      <c r="M24" s="59">
        <f t="shared" si="1"/>
        <v>6.7694436209111572E-2</v>
      </c>
      <c r="N24" s="13"/>
      <c r="O24" s="13"/>
    </row>
    <row r="25" spans="1:15" ht="17.5">
      <c r="A25" s="45" t="str">
        <f>+'S&amp;D'!A31</f>
        <v>Evergy Inc</v>
      </c>
      <c r="B25" s="45"/>
      <c r="C25" s="36" t="str">
        <f>+'S&amp;D'!B31</f>
        <v>EVRG</v>
      </c>
      <c r="D25" s="62">
        <f>'S&amp;D'!G31</f>
        <v>52.2</v>
      </c>
      <c r="E25" s="64">
        <v>3.85</v>
      </c>
      <c r="F25" s="72">
        <f t="shared" si="2"/>
        <v>13.558441558441558</v>
      </c>
      <c r="G25" s="59">
        <f t="shared" si="0"/>
        <v>7.3754789272030649E-2</v>
      </c>
      <c r="H25" s="13"/>
      <c r="I25" s="36" t="str">
        <f>+C25</f>
        <v>EVRG</v>
      </c>
      <c r="J25" s="62">
        <f>+D25</f>
        <v>52.2</v>
      </c>
      <c r="K25" s="64">
        <v>4</v>
      </c>
      <c r="L25" s="72">
        <f>J25/K25</f>
        <v>13.05</v>
      </c>
      <c r="M25" s="59">
        <f t="shared" ref="M25" si="5">1/L25</f>
        <v>7.662835249042145E-2</v>
      </c>
      <c r="N25" s="13"/>
      <c r="O25" s="13"/>
    </row>
    <row r="26" spans="1:15" ht="17.5">
      <c r="A26" s="45" t="str">
        <f>+'S&amp;D'!A32</f>
        <v>FirstEnergy Corp</v>
      </c>
      <c r="B26" s="45"/>
      <c r="C26" s="36" t="str">
        <f>+'S&amp;D'!B32</f>
        <v>FE</v>
      </c>
      <c r="D26" s="62">
        <f>'S&amp;D'!G32</f>
        <v>36.659999999999997</v>
      </c>
      <c r="E26" s="64">
        <v>2.7</v>
      </c>
      <c r="F26" s="72">
        <f t="shared" si="2"/>
        <v>13.577777777777776</v>
      </c>
      <c r="G26" s="59">
        <f t="shared" si="0"/>
        <v>7.3649754500818343E-2</v>
      </c>
      <c r="H26" s="13"/>
      <c r="I26" s="36" t="s">
        <v>79</v>
      </c>
      <c r="J26" s="62">
        <f t="shared" si="3"/>
        <v>36.659999999999997</v>
      </c>
      <c r="K26" s="64">
        <v>2.85</v>
      </c>
      <c r="L26" s="72">
        <f t="shared" si="4"/>
        <v>12.86315789473684</v>
      </c>
      <c r="M26" s="59">
        <f t="shared" si="1"/>
        <v>7.7741407528641587E-2</v>
      </c>
      <c r="N26" s="13"/>
      <c r="O26" s="13"/>
    </row>
    <row r="27" spans="1:15" ht="17.5">
      <c r="A27" s="45" t="str">
        <f>+'S&amp;D'!A33</f>
        <v>OGE Energy Corp.</v>
      </c>
      <c r="B27" s="45"/>
      <c r="C27" s="36" t="str">
        <f>+'S&amp;D'!B33</f>
        <v>OGE</v>
      </c>
      <c r="D27" s="62">
        <f>'S&amp;D'!G33</f>
        <v>34.93</v>
      </c>
      <c r="E27" s="64">
        <v>2.15</v>
      </c>
      <c r="F27" s="72">
        <f>D27/E27</f>
        <v>16.246511627906976</v>
      </c>
      <c r="G27" s="59">
        <f>1/F27</f>
        <v>6.1551674778127688E-2</v>
      </c>
      <c r="I27" s="36" t="s">
        <v>57</v>
      </c>
      <c r="J27" s="62">
        <f>+D27</f>
        <v>34.93</v>
      </c>
      <c r="K27" s="64">
        <v>2.2999999999999998</v>
      </c>
      <c r="L27" s="72">
        <f>J27/K27</f>
        <v>15.186956521739132</v>
      </c>
      <c r="M27" s="59">
        <f>1/L27</f>
        <v>6.5845977669624953E-2</v>
      </c>
      <c r="N27" s="13"/>
      <c r="O27" s="13"/>
    </row>
    <row r="28" spans="1:15" ht="17.5">
      <c r="A28" s="45" t="str">
        <f>+'S&amp;D'!A34</f>
        <v>Otter Tail Corp</v>
      </c>
      <c r="B28" s="45"/>
      <c r="C28" s="36" t="str">
        <f>+'S&amp;D'!B34</f>
        <v>OTTR</v>
      </c>
      <c r="D28" s="62">
        <f>'S&amp;D'!G34</f>
        <v>84.97</v>
      </c>
      <c r="E28" s="64">
        <v>5</v>
      </c>
      <c r="F28" s="72">
        <f>D28/E28</f>
        <v>16.994</v>
      </c>
      <c r="G28" s="59">
        <f>1/F28</f>
        <v>5.884429798752501E-2</v>
      </c>
      <c r="H28" s="13"/>
      <c r="I28" s="36" t="s">
        <v>61</v>
      </c>
      <c r="J28" s="62">
        <f>+D28</f>
        <v>84.97</v>
      </c>
      <c r="K28" s="64">
        <v>4</v>
      </c>
      <c r="L28" s="72">
        <f>J28/K28</f>
        <v>21.2425</v>
      </c>
      <c r="M28" s="59">
        <f>1/L28</f>
        <v>4.7075438390020007E-2</v>
      </c>
      <c r="N28" s="13"/>
      <c r="O28" s="13"/>
    </row>
    <row r="29" spans="1:15" ht="17.5">
      <c r="A29" s="45" t="str">
        <f>+'S&amp;D'!A35</f>
        <v>PPL Corporation</v>
      </c>
      <c r="B29" s="45"/>
      <c r="C29" s="36" t="str">
        <f>+'S&amp;D'!B35</f>
        <v>PPL</v>
      </c>
      <c r="D29" s="62">
        <f>'S&amp;D'!G35</f>
        <v>27.1</v>
      </c>
      <c r="E29" s="64">
        <v>1.7</v>
      </c>
      <c r="F29" s="72">
        <f>D29/E29</f>
        <v>15.941176470588237</v>
      </c>
      <c r="G29" s="59">
        <f>1/F29</f>
        <v>6.273062730627306E-2</v>
      </c>
      <c r="H29" s="13"/>
      <c r="I29" s="36" t="s">
        <v>71</v>
      </c>
      <c r="J29" s="62">
        <f>+D29</f>
        <v>27.1</v>
      </c>
      <c r="K29" s="64">
        <v>1.8</v>
      </c>
      <c r="L29" s="72">
        <f>J29/K29</f>
        <v>15.055555555555555</v>
      </c>
      <c r="M29" s="59">
        <f>1/L29</f>
        <v>6.6420664206642069E-2</v>
      </c>
      <c r="N29" s="13"/>
      <c r="O29" s="13"/>
    </row>
    <row r="30" spans="1:15" ht="17.5">
      <c r="A30" s="45" t="str">
        <f>+'S&amp;D'!A36</f>
        <v>The Southern Company</v>
      </c>
      <c r="B30" s="45"/>
      <c r="C30" s="36" t="str">
        <f>+'S&amp;D'!B36</f>
        <v>SO</v>
      </c>
      <c r="D30" s="62">
        <f>'S&amp;D'!G36</f>
        <v>70.12</v>
      </c>
      <c r="E30" s="64">
        <v>4</v>
      </c>
      <c r="F30" s="72">
        <f>D30/E30</f>
        <v>17.53</v>
      </c>
      <c r="G30" s="59">
        <f>1/F30</f>
        <v>5.7045065601825436E-2</v>
      </c>
      <c r="H30" s="13"/>
      <c r="I30" s="36" t="s">
        <v>73</v>
      </c>
      <c r="J30" s="62">
        <f>+D30</f>
        <v>70.12</v>
      </c>
      <c r="K30" s="64">
        <v>4.3</v>
      </c>
      <c r="L30" s="72">
        <f>J30/K30</f>
        <v>16.306976744186048</v>
      </c>
      <c r="M30" s="59">
        <f>1/L30</f>
        <v>6.1323445521962346E-2</v>
      </c>
      <c r="N30" s="13"/>
      <c r="O30" s="13"/>
    </row>
    <row r="31" spans="1:15" ht="17.5">
      <c r="A31" s="45" t="str">
        <f>+'S&amp;D'!A37</f>
        <v>WEC Energy Group</v>
      </c>
      <c r="B31" s="45"/>
      <c r="C31" s="36" t="str">
        <f>+'S&amp;D'!B37</f>
        <v>WEC</v>
      </c>
      <c r="D31" s="62">
        <f>'S&amp;D'!G37</f>
        <v>84.17</v>
      </c>
      <c r="E31" s="64">
        <v>4.9000000000000004</v>
      </c>
      <c r="F31" s="72">
        <f>D31/E31</f>
        <v>17.177551020408163</v>
      </c>
      <c r="G31" s="59">
        <f>1/F31</f>
        <v>5.8215516217179519E-2</v>
      </c>
      <c r="H31" s="13"/>
      <c r="I31" s="36" t="s">
        <v>62</v>
      </c>
      <c r="J31" s="62">
        <f>+D31</f>
        <v>84.17</v>
      </c>
      <c r="K31" s="64">
        <v>5.25</v>
      </c>
      <c r="L31" s="72">
        <f>J31/K31</f>
        <v>16.032380952380954</v>
      </c>
      <c r="M31" s="59">
        <f>1/L31</f>
        <v>6.2373767375549477E-2</v>
      </c>
      <c r="N31" s="13"/>
      <c r="O31" s="13"/>
    </row>
    <row r="32" spans="1:15" ht="18" thickBot="1">
      <c r="A32" s="13"/>
      <c r="B32" s="13"/>
      <c r="C32" s="73"/>
      <c r="D32" s="73"/>
      <c r="E32" s="73"/>
      <c r="F32" s="73"/>
      <c r="G32" s="73"/>
      <c r="H32" s="13"/>
      <c r="I32" s="73"/>
      <c r="J32" s="67" t="s">
        <v>0</v>
      </c>
      <c r="K32" s="73"/>
      <c r="L32" s="73"/>
      <c r="M32" s="73"/>
      <c r="N32" s="13"/>
      <c r="O32" s="13"/>
    </row>
    <row r="33" spans="1:15" ht="17.5" thickTop="1">
      <c r="A33" s="13"/>
      <c r="B33" s="13"/>
      <c r="D33" s="15" t="s">
        <v>65</v>
      </c>
      <c r="E33" s="325">
        <f>MAX(E16:E31)</f>
        <v>6.8</v>
      </c>
      <c r="F33" s="325">
        <f t="shared" ref="F33:G33" si="6">MAX(F16:F31)</f>
        <v>19.304054054054056</v>
      </c>
      <c r="G33" s="311">
        <f t="shared" si="6"/>
        <v>7.3754789272030649E-2</v>
      </c>
      <c r="H33" s="13"/>
      <c r="J33" s="15" t="s">
        <v>65</v>
      </c>
      <c r="K33" s="325">
        <f t="shared" ref="K33:M33" si="7">MAX(K16:K31)</f>
        <v>7.2</v>
      </c>
      <c r="L33" s="325">
        <f t="shared" si="7"/>
        <v>21.2425</v>
      </c>
      <c r="M33" s="311">
        <f t="shared" si="7"/>
        <v>7.7741407528641587E-2</v>
      </c>
      <c r="N33" s="13"/>
      <c r="O33" s="13"/>
    </row>
    <row r="34" spans="1:15" ht="17">
      <c r="A34" s="13"/>
      <c r="B34" s="13"/>
      <c r="D34" s="301" t="s">
        <v>66</v>
      </c>
      <c r="E34" s="328">
        <f>MIN(E16:E31)</f>
        <v>1.48</v>
      </c>
      <c r="F34" s="328">
        <f t="shared" ref="F34:G34" si="8">MIN(F16:F31)</f>
        <v>13.558441558441558</v>
      </c>
      <c r="G34" s="312">
        <f t="shared" si="8"/>
        <v>5.1802590129506471E-2</v>
      </c>
      <c r="H34" s="13"/>
      <c r="J34" s="301" t="s">
        <v>66</v>
      </c>
      <c r="K34" s="328">
        <f t="shared" ref="K34:M34" si="9">MIN(K16:K31)</f>
        <v>1.6</v>
      </c>
      <c r="L34" s="328">
        <f t="shared" si="9"/>
        <v>12.86315789473684</v>
      </c>
      <c r="M34" s="312">
        <f t="shared" si="9"/>
        <v>4.7075438390020007E-2</v>
      </c>
      <c r="N34" s="13"/>
      <c r="O34" s="13"/>
    </row>
    <row r="35" spans="1:15" ht="17">
      <c r="A35" s="13"/>
      <c r="B35" s="13"/>
      <c r="D35" s="15" t="s">
        <v>18</v>
      </c>
      <c r="E35" s="74">
        <f>MEDIAN(E16:E31)</f>
        <v>3.95</v>
      </c>
      <c r="F35" s="22">
        <f>MEDIAN(F16:F31)</f>
        <v>16.194019607843138</v>
      </c>
      <c r="G35" s="59">
        <f>MEDIAN(G16:G31)</f>
        <v>6.1751291895092E-2</v>
      </c>
      <c r="H35" s="13"/>
      <c r="J35" s="15" t="s">
        <v>18</v>
      </c>
      <c r="K35" s="74">
        <f>MEDIAN(K16:K31)</f>
        <v>4.125</v>
      </c>
      <c r="L35" s="22">
        <f>MEDIAN(L16:L31)</f>
        <v>15.234423142759331</v>
      </c>
      <c r="M35" s="59">
        <f>MEDIAN(M16:M31)</f>
        <v>6.5641455446518976E-2</v>
      </c>
      <c r="N35" s="13"/>
      <c r="O35" s="13"/>
    </row>
    <row r="36" spans="1:15" ht="17">
      <c r="A36" s="13"/>
      <c r="B36" s="13"/>
      <c r="D36" s="15" t="s">
        <v>441</v>
      </c>
      <c r="E36" s="18">
        <f>AVERAGE(E16:E31)</f>
        <v>4.0893750000000004</v>
      </c>
      <c r="F36" s="22">
        <f>AVERAGE(F16:F31)</f>
        <v>16.187812370241911</v>
      </c>
      <c r="G36" s="75">
        <f>AVERAGE(G16:G31)</f>
        <v>6.2285238485949843E-2</v>
      </c>
      <c r="H36" s="13"/>
      <c r="J36" s="15" t="s">
        <v>441</v>
      </c>
      <c r="K36" s="18">
        <f>AVERAGE(K16:K31)</f>
        <v>4.2718749999999996</v>
      </c>
      <c r="L36" s="22">
        <f>AVERAGE(L16:L31)</f>
        <v>15.5168024216037</v>
      </c>
      <c r="M36" s="75">
        <f>AVERAGE(M16:M31)</f>
        <v>6.5356643114053925E-2</v>
      </c>
      <c r="N36" s="13"/>
      <c r="O36" s="13"/>
    </row>
    <row r="37" spans="1:15" ht="17">
      <c r="A37" s="13"/>
      <c r="B37" s="13"/>
      <c r="C37" s="13"/>
      <c r="D37" s="13"/>
      <c r="E37" s="13"/>
      <c r="F37" s="13"/>
      <c r="G37" s="13"/>
      <c r="H37" s="13"/>
      <c r="I37" s="13"/>
      <c r="J37" s="13"/>
      <c r="K37" s="13"/>
      <c r="L37" s="13"/>
      <c r="M37" s="13"/>
      <c r="N37" s="13"/>
      <c r="O37" s="13"/>
    </row>
    <row r="38" spans="1:15" ht="25.5">
      <c r="A38" s="13"/>
      <c r="B38" s="13"/>
      <c r="C38" s="13"/>
      <c r="D38" s="13"/>
      <c r="E38" s="79" t="s">
        <v>108</v>
      </c>
      <c r="F38" s="342">
        <v>16.190000000000001</v>
      </c>
      <c r="G38" s="343">
        <v>5.2299999999999999E-2</v>
      </c>
      <c r="H38" s="13"/>
      <c r="I38" s="13"/>
      <c r="J38" s="13"/>
      <c r="K38" s="79" t="s">
        <v>108</v>
      </c>
      <c r="L38" s="344">
        <v>15.52</v>
      </c>
      <c r="M38" s="343">
        <v>6.54E-2</v>
      </c>
      <c r="N38" s="13"/>
      <c r="O38" s="13"/>
    </row>
    <row r="39" spans="1:15" ht="17">
      <c r="A39" s="13"/>
      <c r="B39" s="13"/>
      <c r="C39" s="13"/>
      <c r="D39" s="13"/>
      <c r="E39" s="13"/>
      <c r="F39" s="13"/>
      <c r="K39" s="13"/>
      <c r="L39" s="13"/>
      <c r="M39" s="13"/>
      <c r="N39" s="13"/>
      <c r="O39" s="13"/>
    </row>
    <row r="40" spans="1:15" ht="17">
      <c r="A40" s="13"/>
      <c r="B40" s="13"/>
      <c r="C40" s="13"/>
      <c r="D40" s="13"/>
      <c r="E40" s="13"/>
      <c r="F40" s="13"/>
      <c r="K40" s="13"/>
      <c r="L40" s="13"/>
      <c r="M40" s="13"/>
      <c r="N40" s="13"/>
      <c r="O40" s="13"/>
    </row>
    <row r="41" spans="1:15" ht="17.5" thickBot="1">
      <c r="A41" s="13"/>
      <c r="B41" s="13"/>
      <c r="C41" s="13"/>
      <c r="D41" s="13"/>
      <c r="E41" s="13"/>
      <c r="F41" s="13"/>
      <c r="K41" s="13"/>
      <c r="L41" s="13"/>
      <c r="M41" s="13"/>
      <c r="N41" s="13"/>
      <c r="O41" s="13"/>
    </row>
    <row r="42" spans="1:15" ht="30.75" customHeight="1" thickBot="1">
      <c r="A42" s="77" t="s">
        <v>0</v>
      </c>
      <c r="B42" s="77"/>
      <c r="C42" s="13"/>
      <c r="D42" s="13"/>
      <c r="E42" s="13"/>
      <c r="F42" s="13"/>
      <c r="G42" s="25" t="s">
        <v>158</v>
      </c>
      <c r="H42" s="13"/>
      <c r="I42" s="230">
        <f>(+F38+L38)/2</f>
        <v>15.855</v>
      </c>
      <c r="J42" s="231">
        <f>(+G38+M38)/2</f>
        <v>5.885E-2</v>
      </c>
      <c r="N42" s="13"/>
      <c r="O42" s="13"/>
    </row>
    <row r="43" spans="1:15" ht="17">
      <c r="A43" s="77" t="s">
        <v>0</v>
      </c>
      <c r="B43" s="77"/>
      <c r="C43" s="13"/>
      <c r="D43" s="13"/>
      <c r="E43" s="13"/>
      <c r="F43" s="13"/>
      <c r="G43" s="13"/>
      <c r="H43" s="13"/>
      <c r="I43" s="13"/>
      <c r="J43" s="13"/>
      <c r="K43" s="13"/>
      <c r="L43" s="13"/>
      <c r="M43" s="13"/>
      <c r="N43" s="13"/>
      <c r="O43" s="13"/>
    </row>
    <row r="44" spans="1:15" ht="17">
      <c r="A44" s="13"/>
      <c r="B44" s="13"/>
      <c r="C44" s="13"/>
      <c r="D44" s="13"/>
      <c r="E44" s="13"/>
      <c r="F44" s="13"/>
      <c r="G44" s="13"/>
      <c r="H44" s="13"/>
      <c r="I44" s="13"/>
      <c r="J44" s="13"/>
      <c r="K44" s="13"/>
      <c r="L44" s="13"/>
      <c r="M44" s="13"/>
      <c r="N44" s="13"/>
      <c r="O44" s="13"/>
    </row>
    <row r="45" spans="1:15" ht="17">
      <c r="A45" s="13"/>
      <c r="B45" s="13"/>
      <c r="C45" s="13"/>
      <c r="D45" s="13"/>
      <c r="E45" s="13"/>
      <c r="F45" s="13"/>
      <c r="G45" s="13"/>
      <c r="H45" s="13"/>
      <c r="I45" s="13"/>
      <c r="J45" s="13"/>
      <c r="K45" s="13"/>
      <c r="L45" s="13"/>
      <c r="M45" s="13"/>
      <c r="N45" s="13"/>
      <c r="O45" s="13"/>
    </row>
    <row r="46" spans="1:15" ht="15" thickBot="1">
      <c r="B46" s="155"/>
      <c r="C46" s="155"/>
      <c r="D46" s="155"/>
      <c r="E46" s="155"/>
      <c r="F46" s="155"/>
      <c r="G46" s="155"/>
      <c r="H46" s="155"/>
    </row>
    <row r="47" spans="1:15" ht="25.5">
      <c r="B47" s="32"/>
      <c r="C47" s="13"/>
      <c r="D47" s="13"/>
      <c r="E47" s="33" t="s">
        <v>524</v>
      </c>
      <c r="F47" s="13"/>
      <c r="G47" s="13"/>
    </row>
    <row r="48" spans="1:15" ht="21.5" thickBot="1">
      <c r="A48" s="32"/>
      <c r="B48" s="156"/>
      <c r="C48" s="30"/>
      <c r="D48" s="30"/>
      <c r="E48" s="34" t="s">
        <v>484</v>
      </c>
      <c r="F48" s="30"/>
      <c r="G48" s="30"/>
      <c r="H48" s="155"/>
    </row>
    <row r="49" spans="1:7" ht="15.5" thickBot="1">
      <c r="A49" s="35" t="s">
        <v>0</v>
      </c>
      <c r="B49" s="35"/>
      <c r="C49" s="35" t="s">
        <v>0</v>
      </c>
      <c r="D49" s="35" t="s">
        <v>0</v>
      </c>
      <c r="E49" s="35" t="s">
        <v>0</v>
      </c>
      <c r="F49" s="35" t="s">
        <v>0</v>
      </c>
      <c r="G49" s="35" t="s">
        <v>0</v>
      </c>
    </row>
    <row r="50" spans="1:7" ht="17">
      <c r="A50" s="36" t="s">
        <v>0</v>
      </c>
      <c r="B50" s="36"/>
      <c r="C50" s="36" t="s">
        <v>3</v>
      </c>
      <c r="D50" s="36" t="s">
        <v>400</v>
      </c>
      <c r="E50" s="36" t="s">
        <v>401</v>
      </c>
      <c r="F50" s="36" t="s">
        <v>145</v>
      </c>
      <c r="G50" s="36" t="s">
        <v>27</v>
      </c>
    </row>
    <row r="51" spans="1:7" ht="17.5" thickBot="1">
      <c r="A51" s="38" t="s">
        <v>2</v>
      </c>
      <c r="B51" s="38"/>
      <c r="C51" s="38" t="s">
        <v>4</v>
      </c>
      <c r="D51" s="38" t="s">
        <v>28</v>
      </c>
      <c r="E51" s="38" t="s">
        <v>203</v>
      </c>
      <c r="F51" s="38" t="s">
        <v>29</v>
      </c>
      <c r="G51" s="38" t="s">
        <v>30</v>
      </c>
    </row>
    <row r="52" spans="1:7" ht="16">
      <c r="A52" s="40" t="s">
        <v>0</v>
      </c>
      <c r="B52" s="40"/>
      <c r="C52" s="40" t="s">
        <v>0</v>
      </c>
      <c r="D52" s="41" t="s">
        <v>147</v>
      </c>
      <c r="E52" s="78" t="s">
        <v>277</v>
      </c>
      <c r="F52" s="40" t="s">
        <v>0</v>
      </c>
      <c r="G52" s="40" t="s">
        <v>0</v>
      </c>
    </row>
    <row r="53" spans="1:7" ht="17">
      <c r="A53" s="36"/>
      <c r="B53" s="36"/>
      <c r="C53" s="36"/>
      <c r="D53" s="36"/>
      <c r="E53" s="36"/>
      <c r="F53" s="36"/>
      <c r="G53" s="36"/>
    </row>
    <row r="54" spans="1:7" ht="17">
      <c r="A54" s="13"/>
      <c r="B54" s="13"/>
      <c r="C54" s="13"/>
      <c r="D54" s="13"/>
      <c r="E54" s="13"/>
      <c r="F54" s="13"/>
      <c r="G54" s="13"/>
    </row>
    <row r="55" spans="1:7" ht="17.5">
      <c r="A55" s="45" t="str">
        <f>+'S&amp;D'!A22</f>
        <v>ALLETE Inc</v>
      </c>
      <c r="B55" s="45"/>
      <c r="C55" s="36" t="str">
        <f>+'S&amp;D'!B22</f>
        <v>ALE</v>
      </c>
      <c r="D55" s="62">
        <f>'S&amp;D'!G22</f>
        <v>61.16</v>
      </c>
      <c r="E55" s="64">
        <v>5.15</v>
      </c>
      <c r="F55" s="72">
        <f>D55/E55</f>
        <v>11.875728155339804</v>
      </c>
      <c r="G55" s="59">
        <f t="shared" ref="G55:G70" si="10">1/F55</f>
        <v>8.4205362982341408E-2</v>
      </c>
    </row>
    <row r="56" spans="1:7" ht="17.5">
      <c r="A56" s="45" t="str">
        <f>+'S&amp;D'!A23</f>
        <v>Alliant Energy</v>
      </c>
      <c r="B56" s="45"/>
      <c r="C56" s="36" t="str">
        <f>+'S&amp;D'!B23</f>
        <v>LNT</v>
      </c>
      <c r="D56" s="62">
        <f>'S&amp;D'!G23</f>
        <v>51.3</v>
      </c>
      <c r="E56" s="64">
        <v>3.9</v>
      </c>
      <c r="F56" s="72">
        <f t="shared" ref="F56:F57" si="11">D56/E56</f>
        <v>13.153846153846153</v>
      </c>
      <c r="G56" s="59">
        <f t="shared" si="10"/>
        <v>7.6023391812865507E-2</v>
      </c>
    </row>
    <row r="57" spans="1:7" ht="17.5">
      <c r="A57" s="45" t="str">
        <f>+'S&amp;D'!A24</f>
        <v>AMEREN Corporation</v>
      </c>
      <c r="B57" s="45"/>
      <c r="C57" s="36" t="str">
        <f>+'S&amp;D'!B24</f>
        <v>AEE</v>
      </c>
      <c r="D57" s="62">
        <f>'S&amp;D'!G24</f>
        <v>72.34</v>
      </c>
      <c r="E57" s="64">
        <v>5.75</v>
      </c>
      <c r="F57" s="72">
        <f t="shared" si="11"/>
        <v>12.580869565217393</v>
      </c>
      <c r="G57" s="59">
        <f t="shared" si="10"/>
        <v>7.9485761680951061E-2</v>
      </c>
    </row>
    <row r="58" spans="1:7" ht="17.5">
      <c r="A58" s="45" t="str">
        <f>+'S&amp;D'!A25</f>
        <v>American Electric Power</v>
      </c>
      <c r="B58" s="45"/>
      <c r="C58" s="36" t="str">
        <f>+'S&amp;D'!B25</f>
        <v>AEP</v>
      </c>
      <c r="D58" s="62">
        <f>'S&amp;D'!G25</f>
        <v>81.22</v>
      </c>
      <c r="E58" s="64">
        <v>7.25</v>
      </c>
      <c r="F58" s="72">
        <f>D58/E58</f>
        <v>11.202758620689655</v>
      </c>
      <c r="G58" s="59">
        <f t="shared" si="10"/>
        <v>8.9263728145776905E-2</v>
      </c>
    </row>
    <row r="59" spans="1:7" ht="17.5">
      <c r="A59" s="45" t="str">
        <f>+'S&amp;D'!A26</f>
        <v>Centerpoint Energy</v>
      </c>
      <c r="B59" s="45"/>
      <c r="C59" s="36" t="str">
        <f>+'S&amp;D'!B26</f>
        <v>CNP</v>
      </c>
      <c r="D59" s="62">
        <f>'S&amp;D'!G26</f>
        <v>28.57</v>
      </c>
      <c r="E59" s="64">
        <v>1.9</v>
      </c>
      <c r="F59" s="72">
        <f t="shared" ref="F59:F70" si="12">D59/E59</f>
        <v>15.036842105263158</v>
      </c>
      <c r="G59" s="59">
        <f t="shared" si="10"/>
        <v>6.6503325166258315E-2</v>
      </c>
    </row>
    <row r="60" spans="1:7" ht="17.5">
      <c r="A60" s="45" t="str">
        <f>+'S&amp;D'!A27</f>
        <v>CMS Energy</v>
      </c>
      <c r="B60" s="45"/>
      <c r="C60" s="36" t="str">
        <f>+'S&amp;D'!B27</f>
        <v>CMS</v>
      </c>
      <c r="D60" s="62">
        <f>'S&amp;D'!G27</f>
        <v>58.07</v>
      </c>
      <c r="E60" s="64">
        <v>3.75</v>
      </c>
      <c r="F60" s="72">
        <f t="shared" si="12"/>
        <v>15.485333333333333</v>
      </c>
      <c r="G60" s="59">
        <f t="shared" si="10"/>
        <v>6.4577234372309278E-2</v>
      </c>
    </row>
    <row r="61" spans="1:7" ht="17.5">
      <c r="A61" s="45" t="str">
        <f>+'S&amp;D'!A28</f>
        <v>DTE Energy</v>
      </c>
      <c r="B61" s="45"/>
      <c r="C61" s="36" t="str">
        <f>+'S&amp;D'!B28</f>
        <v>DTE</v>
      </c>
      <c r="D61" s="62">
        <f>'S&amp;D'!G28</f>
        <v>110.26</v>
      </c>
      <c r="E61" s="64">
        <v>8.5</v>
      </c>
      <c r="F61" s="72">
        <f t="shared" si="12"/>
        <v>12.971764705882354</v>
      </c>
      <c r="G61" s="59">
        <f t="shared" si="10"/>
        <v>7.7090513332124064E-2</v>
      </c>
    </row>
    <row r="62" spans="1:7" ht="17.5">
      <c r="A62" s="45" t="str">
        <f>+'S&amp;D'!A29</f>
        <v>Duke Energy</v>
      </c>
      <c r="B62" s="45"/>
      <c r="C62" s="36" t="str">
        <f>+'S&amp;D'!B29</f>
        <v>DUK</v>
      </c>
      <c r="D62" s="62">
        <f>'S&amp;D'!G29</f>
        <v>97.04</v>
      </c>
      <c r="E62" s="64">
        <v>7.5</v>
      </c>
      <c r="F62" s="72">
        <f t="shared" si="12"/>
        <v>12.938666666666668</v>
      </c>
      <c r="G62" s="59">
        <f t="shared" si="10"/>
        <v>7.728771640560593E-2</v>
      </c>
    </row>
    <row r="63" spans="1:7" ht="17.5">
      <c r="A63" s="45" t="str">
        <f>+'S&amp;D'!A30</f>
        <v>Entergy Corp</v>
      </c>
      <c r="B63" s="45"/>
      <c r="C63" s="36" t="str">
        <f>+'S&amp;D'!B30</f>
        <v>ETR</v>
      </c>
      <c r="D63" s="62">
        <f>'S&amp;D'!G30</f>
        <v>101.19</v>
      </c>
      <c r="E63" s="64">
        <v>8.0500000000000007</v>
      </c>
      <c r="F63" s="72">
        <f t="shared" si="12"/>
        <v>12.570186335403726</v>
      </c>
      <c r="G63" s="59">
        <f t="shared" si="10"/>
        <v>7.9553315545014339E-2</v>
      </c>
    </row>
    <row r="64" spans="1:7" ht="17.5">
      <c r="A64" s="45" t="str">
        <f>+'S&amp;D'!A31</f>
        <v>Evergy Inc</v>
      </c>
      <c r="B64" s="45"/>
      <c r="C64" s="36" t="str">
        <f>+'S&amp;D'!B31</f>
        <v>EVRG</v>
      </c>
      <c r="D64" s="62">
        <f>'S&amp;D'!G31</f>
        <v>52.2</v>
      </c>
      <c r="E64" s="64">
        <v>4.75</v>
      </c>
      <c r="F64" s="72">
        <f t="shared" si="12"/>
        <v>10.989473684210527</v>
      </c>
      <c r="G64" s="59">
        <f t="shared" si="10"/>
        <v>9.099616858237547E-2</v>
      </c>
    </row>
    <row r="65" spans="1:7" ht="17.5">
      <c r="A65" s="45" t="str">
        <f>+'S&amp;D'!A32</f>
        <v>FirstEnergy Corp</v>
      </c>
      <c r="B65" s="45"/>
      <c r="C65" s="36" t="str">
        <f>+'S&amp;D'!B32</f>
        <v>FE</v>
      </c>
      <c r="D65" s="62">
        <f>'S&amp;D'!G32</f>
        <v>36.659999999999997</v>
      </c>
      <c r="E65" s="64">
        <v>3.4</v>
      </c>
      <c r="F65" s="72">
        <f t="shared" si="12"/>
        <v>10.78235294117647</v>
      </c>
      <c r="G65" s="59">
        <f t="shared" si="10"/>
        <v>9.2744135297326794E-2</v>
      </c>
    </row>
    <row r="66" spans="1:7" ht="17.5">
      <c r="A66" s="45" t="str">
        <f>+'S&amp;D'!A33</f>
        <v>OGE Energy Corp.</v>
      </c>
      <c r="B66" s="45"/>
      <c r="C66" s="36" t="str">
        <f>+'S&amp;D'!B33</f>
        <v>OGE</v>
      </c>
      <c r="D66" s="62">
        <f>'S&amp;D'!G33</f>
        <v>34.93</v>
      </c>
      <c r="E66" s="64">
        <v>2.75</v>
      </c>
      <c r="F66" s="72">
        <f t="shared" si="12"/>
        <v>12.701818181818181</v>
      </c>
      <c r="G66" s="59">
        <f t="shared" si="10"/>
        <v>7.8728886344116802E-2</v>
      </c>
    </row>
    <row r="67" spans="1:7" ht="17.5">
      <c r="A67" s="45" t="str">
        <f>+'S&amp;D'!A34</f>
        <v>Otter Tail Corp</v>
      </c>
      <c r="B67" s="45"/>
      <c r="C67" s="36" t="str">
        <f>+'S&amp;D'!B34</f>
        <v>OTTR</v>
      </c>
      <c r="D67" s="62">
        <f>'S&amp;D'!G34</f>
        <v>84.97</v>
      </c>
      <c r="E67" s="64">
        <v>4.5999999999999996</v>
      </c>
      <c r="F67" s="72">
        <f t="shared" si="12"/>
        <v>18.471739130434784</v>
      </c>
      <c r="G67" s="59">
        <f t="shared" si="10"/>
        <v>5.4136754148523002E-2</v>
      </c>
    </row>
    <row r="68" spans="1:7" ht="17.5">
      <c r="A68" s="45" t="str">
        <f>+'S&amp;D'!A35</f>
        <v>PPL Corporation</v>
      </c>
      <c r="B68" s="45"/>
      <c r="C68" s="36" t="str">
        <f>+'S&amp;D'!B35</f>
        <v>PPL</v>
      </c>
      <c r="D68" s="62">
        <f>'S&amp;D'!G35</f>
        <v>27.1</v>
      </c>
      <c r="E68" s="64">
        <v>2.2000000000000002</v>
      </c>
      <c r="F68" s="72">
        <f t="shared" si="12"/>
        <v>12.318181818181818</v>
      </c>
      <c r="G68" s="59">
        <f t="shared" si="10"/>
        <v>8.1180811808118078E-2</v>
      </c>
    </row>
    <row r="69" spans="1:7" ht="17.5">
      <c r="A69" s="45" t="str">
        <f>+'S&amp;D'!A36</f>
        <v>The Southern Company</v>
      </c>
      <c r="B69" s="45"/>
      <c r="C69" s="36" t="str">
        <f>+'S&amp;D'!B36</f>
        <v>SO</v>
      </c>
      <c r="D69" s="62">
        <f>'S&amp;D'!G36</f>
        <v>70.12</v>
      </c>
      <c r="E69" s="64">
        <v>5.15</v>
      </c>
      <c r="F69" s="72">
        <f t="shared" si="12"/>
        <v>13.615533980582525</v>
      </c>
      <c r="G69" s="59">
        <f t="shared" si="10"/>
        <v>7.3445521962350255E-2</v>
      </c>
    </row>
    <row r="70" spans="1:7" ht="17.5">
      <c r="A70" s="45" t="str">
        <f>+'S&amp;D'!A37</f>
        <v>WEC Energy Group</v>
      </c>
      <c r="B70" s="45"/>
      <c r="C70" s="36" t="str">
        <f>+'S&amp;D'!B37</f>
        <v>WEC</v>
      </c>
      <c r="D70" s="62">
        <f>'S&amp;D'!G37</f>
        <v>84.17</v>
      </c>
      <c r="E70" s="64">
        <v>6.3</v>
      </c>
      <c r="F70" s="72">
        <f t="shared" si="12"/>
        <v>13.360317460317461</v>
      </c>
      <c r="G70" s="59">
        <f t="shared" si="10"/>
        <v>7.4848520850659378E-2</v>
      </c>
    </row>
    <row r="71" spans="1:7" ht="17.5" thickBot="1">
      <c r="A71" s="13"/>
      <c r="B71" s="13"/>
      <c r="C71" s="73"/>
      <c r="D71" s="73"/>
      <c r="E71" s="73"/>
      <c r="F71" s="73"/>
      <c r="G71" s="73"/>
    </row>
    <row r="72" spans="1:7" ht="17.5" thickTop="1">
      <c r="A72" s="13"/>
      <c r="B72" s="13"/>
      <c r="D72" s="15" t="s">
        <v>65</v>
      </c>
      <c r="E72" s="325">
        <f t="shared" ref="E72:G72" si="13">MAX(E55:E70)</f>
        <v>8.5</v>
      </c>
      <c r="F72" s="325">
        <f t="shared" si="13"/>
        <v>18.471739130434784</v>
      </c>
      <c r="G72" s="311">
        <f t="shared" si="13"/>
        <v>9.2744135297326794E-2</v>
      </c>
    </row>
    <row r="73" spans="1:7" ht="17">
      <c r="A73" s="13"/>
      <c r="B73" s="13"/>
      <c r="D73" s="15" t="s">
        <v>66</v>
      </c>
      <c r="E73" s="325">
        <f t="shared" ref="E73:G73" si="14">MIN(E55:E70)</f>
        <v>1.9</v>
      </c>
      <c r="F73" s="325">
        <f t="shared" si="14"/>
        <v>10.78235294117647</v>
      </c>
      <c r="G73" s="311">
        <f t="shared" si="14"/>
        <v>5.4136754148523002E-2</v>
      </c>
    </row>
    <row r="74" spans="1:7" ht="17">
      <c r="A74" s="13"/>
      <c r="B74" s="13"/>
      <c r="D74" s="15" t="s">
        <v>18</v>
      </c>
      <c r="E74" s="74">
        <f>MEDIAN(E55:E70)</f>
        <v>4.95</v>
      </c>
      <c r="F74" s="22">
        <f>MEDIAN(F55:F70)</f>
        <v>12.820242424242425</v>
      </c>
      <c r="G74" s="59">
        <f>MEDIAN(G55:G70)</f>
        <v>7.8008301374861366E-2</v>
      </c>
    </row>
    <row r="75" spans="1:7" ht="17">
      <c r="A75" s="13"/>
      <c r="B75" s="13"/>
      <c r="D75" s="15" t="s">
        <v>441</v>
      </c>
      <c r="E75" s="18">
        <f>AVERAGE(E55:E70)</f>
        <v>5.0562500000000004</v>
      </c>
      <c r="F75" s="22">
        <f>AVERAGE(F55:F70)</f>
        <v>13.128463302397751</v>
      </c>
      <c r="G75" s="75">
        <f>AVERAGE(G55:G70)</f>
        <v>7.7504446777294789E-2</v>
      </c>
    </row>
    <row r="76" spans="1:7" ht="17">
      <c r="A76" s="13"/>
      <c r="B76" s="13"/>
      <c r="C76" s="13"/>
      <c r="D76" s="13"/>
      <c r="E76" s="13"/>
      <c r="F76" s="13"/>
      <c r="G76" s="13"/>
    </row>
    <row r="77" spans="1:7" ht="25.5">
      <c r="A77" s="13"/>
      <c r="B77" s="13"/>
      <c r="C77" s="13"/>
      <c r="D77" s="13"/>
      <c r="E77" s="51" t="s">
        <v>108</v>
      </c>
      <c r="F77" s="438">
        <v>13.13</v>
      </c>
      <c r="G77" s="439">
        <v>7.7499999999999999E-2</v>
      </c>
    </row>
  </sheetData>
  <pageMargins left="0.25" right="0.25" top="0.75" bottom="0.75" header="0.3" footer="0.3"/>
  <pageSetup scale="3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47"/>
  <sheetViews>
    <sheetView view="pageBreakPreview" topLeftCell="A66" zoomScale="60" zoomScaleNormal="80" workbookViewId="0">
      <selection activeCell="H89" sqref="H89"/>
    </sheetView>
  </sheetViews>
  <sheetFormatPr defaultRowHeight="14.5"/>
  <cols>
    <col min="1" max="1" width="62.453125" customWidth="1"/>
    <col min="2" max="2" width="28.26953125" customWidth="1"/>
    <col min="3" max="3" width="30.26953125" customWidth="1"/>
    <col min="4" max="4" width="26.7265625" customWidth="1"/>
    <col min="5" max="5" width="30.54296875" customWidth="1"/>
    <col min="6" max="6" width="28.1796875" customWidth="1"/>
    <col min="7" max="7" width="32.7265625" customWidth="1"/>
    <col min="8" max="8" width="37.7265625" customWidth="1"/>
    <col min="9" max="9" width="52.1796875" customWidth="1"/>
    <col min="10" max="10" width="13.81640625" customWidth="1"/>
    <col min="11" max="12" width="14.1796875" bestFit="1" customWidth="1"/>
  </cols>
  <sheetData>
    <row r="1" spans="1:11" ht="25.5">
      <c r="A1" s="25" t="s">
        <v>1</v>
      </c>
      <c r="C1" s="25"/>
      <c r="D1" s="25"/>
      <c r="E1" s="13"/>
      <c r="F1" s="13"/>
      <c r="G1" s="13"/>
      <c r="H1" s="13"/>
      <c r="I1" s="13"/>
      <c r="J1" s="13"/>
      <c r="K1" s="13"/>
    </row>
    <row r="2" spans="1:11" ht="17.5">
      <c r="A2" s="26" t="s">
        <v>9</v>
      </c>
      <c r="C2" s="26"/>
      <c r="D2" s="26"/>
      <c r="E2" s="13"/>
      <c r="F2" s="13"/>
      <c r="G2" s="13"/>
      <c r="H2" s="13"/>
      <c r="I2" s="13"/>
      <c r="J2" s="13"/>
      <c r="K2" s="13"/>
    </row>
    <row r="3" spans="1:11" ht="17">
      <c r="A3" s="27" t="s">
        <v>483</v>
      </c>
      <c r="C3" s="27"/>
      <c r="D3" s="27"/>
      <c r="E3" s="13"/>
      <c r="F3" s="13"/>
      <c r="G3" s="13"/>
      <c r="H3" s="13"/>
      <c r="I3" s="13"/>
      <c r="J3" s="13"/>
      <c r="K3" s="13"/>
    </row>
    <row r="4" spans="1:11" ht="17">
      <c r="B4" s="27"/>
      <c r="C4" s="27"/>
      <c r="D4" s="27"/>
      <c r="E4" s="13"/>
      <c r="F4" s="13"/>
      <c r="G4" s="13"/>
      <c r="H4" s="13"/>
      <c r="I4" s="13"/>
      <c r="J4" s="13"/>
      <c r="K4" s="13"/>
    </row>
    <row r="5" spans="1:11" ht="17">
      <c r="B5" s="13"/>
      <c r="C5" s="13"/>
      <c r="D5" s="13"/>
      <c r="E5" s="13"/>
      <c r="F5" s="13"/>
      <c r="G5" s="13"/>
      <c r="H5" s="13"/>
      <c r="I5" s="28" t="s">
        <v>0</v>
      </c>
      <c r="J5" s="28"/>
      <c r="K5" s="13"/>
    </row>
    <row r="6" spans="1:11" ht="17.5" thickBot="1">
      <c r="B6" s="13"/>
      <c r="C6" s="13"/>
      <c r="D6" s="30"/>
      <c r="E6" s="30"/>
      <c r="F6" s="155"/>
      <c r="H6" s="13"/>
      <c r="I6" s="13"/>
      <c r="J6" s="13"/>
      <c r="K6" s="13"/>
    </row>
    <row r="7" spans="1:11" ht="26" thickBot="1">
      <c r="A7" s="29" t="str">
        <f>+'S&amp;D'!A12</f>
        <v>Electric Utilities</v>
      </c>
      <c r="C7" s="32"/>
      <c r="D7" s="32"/>
      <c r="E7" s="33" t="s">
        <v>290</v>
      </c>
      <c r="H7" s="13"/>
      <c r="I7" s="13"/>
      <c r="J7" s="13"/>
      <c r="K7" s="13"/>
    </row>
    <row r="8" spans="1:11" ht="21.5" thickBot="1">
      <c r="B8" s="32"/>
      <c r="C8" s="32"/>
      <c r="D8" s="156"/>
      <c r="E8" s="34" t="s">
        <v>484</v>
      </c>
      <c r="F8" s="155"/>
      <c r="H8" s="13"/>
      <c r="I8" s="13"/>
      <c r="J8" s="13"/>
      <c r="K8" s="13"/>
    </row>
    <row r="9" spans="1:11" ht="21">
      <c r="B9" s="32"/>
      <c r="C9" s="32"/>
      <c r="D9" s="32"/>
      <c r="E9" s="36"/>
      <c r="H9" s="13"/>
      <c r="I9" s="13"/>
      <c r="J9" s="13"/>
      <c r="K9" s="13"/>
    </row>
    <row r="10" spans="1:11" ht="21.5" thickBot="1">
      <c r="A10" s="156"/>
      <c r="B10" s="32"/>
      <c r="I10" s="13"/>
      <c r="J10" s="13"/>
      <c r="K10" s="13"/>
    </row>
    <row r="11" spans="1:11" ht="22.5" customHeight="1" thickBot="1">
      <c r="A11" s="169" t="s">
        <v>285</v>
      </c>
      <c r="B11" s="32"/>
      <c r="I11" s="13"/>
      <c r="J11" s="13"/>
      <c r="K11" s="13"/>
    </row>
    <row r="12" spans="1:11" ht="26.25" customHeight="1" thickBot="1">
      <c r="A12" s="168" t="s">
        <v>0</v>
      </c>
      <c r="B12" s="13"/>
      <c r="C12" s="13"/>
      <c r="D12" s="13"/>
      <c r="E12" s="13"/>
      <c r="F12" s="13"/>
      <c r="G12" s="13"/>
      <c r="H12" s="13"/>
      <c r="I12" s="13"/>
      <c r="J12" s="13"/>
      <c r="K12" s="13"/>
    </row>
    <row r="13" spans="1:11" ht="66.75" customHeight="1" thickBot="1">
      <c r="A13" s="235" t="s">
        <v>309</v>
      </c>
      <c r="B13" s="162" t="s">
        <v>355</v>
      </c>
      <c r="C13" s="162" t="s">
        <v>321</v>
      </c>
      <c r="D13" s="162" t="s">
        <v>445</v>
      </c>
      <c r="I13" s="13"/>
      <c r="J13" s="13"/>
      <c r="K13" s="13"/>
    </row>
    <row r="14" spans="1:11" ht="17">
      <c r="A14" s="157"/>
      <c r="B14" s="223"/>
      <c r="C14" s="223"/>
      <c r="D14" s="223"/>
      <c r="I14" s="13"/>
      <c r="J14" s="13"/>
      <c r="K14" s="13"/>
    </row>
    <row r="15" spans="1:11" ht="21">
      <c r="A15" s="166" t="str">
        <f>+A7</f>
        <v>Electric Utilities</v>
      </c>
      <c r="B15" s="247">
        <v>7.0000000000000007E-2</v>
      </c>
      <c r="C15" s="247">
        <f>+'Dividends '!K35</f>
        <v>3.2441648020213647E-2</v>
      </c>
      <c r="D15" s="247">
        <f>+Earnings!K35</f>
        <v>5.9769477476724647E-2</v>
      </c>
      <c r="I15" s="13"/>
      <c r="J15" s="13"/>
      <c r="K15" s="13"/>
    </row>
    <row r="16" spans="1:11" ht="21.5" thickBot="1">
      <c r="A16" s="159" t="s">
        <v>0</v>
      </c>
      <c r="B16" s="224" t="s">
        <v>0</v>
      </c>
      <c r="C16" s="273">
        <f>+'Dividends '!K36</f>
        <v>3.4352619257612009E-2</v>
      </c>
      <c r="D16" s="273">
        <f>+Earnings!K36</f>
        <v>5.7964395348233638E-2</v>
      </c>
      <c r="I16" s="13"/>
      <c r="J16" s="13"/>
      <c r="K16" s="13"/>
    </row>
    <row r="17" spans="1:11" ht="21">
      <c r="A17" s="233"/>
      <c r="B17" s="234"/>
      <c r="I17" s="13"/>
      <c r="J17" s="13"/>
      <c r="K17" s="13"/>
    </row>
    <row r="18" spans="1:11" ht="17">
      <c r="A18" s="13"/>
      <c r="B18" s="13"/>
      <c r="C18" s="13"/>
      <c r="D18" s="13"/>
      <c r="E18" s="13"/>
      <c r="F18" s="13"/>
      <c r="G18" s="13"/>
      <c r="H18" s="13"/>
      <c r="I18" s="13"/>
      <c r="J18" s="13"/>
      <c r="K18" s="13"/>
    </row>
    <row r="19" spans="1:11" ht="17.5" thickBot="1">
      <c r="A19" s="13"/>
      <c r="B19" s="13"/>
      <c r="C19" s="13"/>
      <c r="D19" s="13"/>
      <c r="E19" s="13"/>
      <c r="F19" s="13"/>
      <c r="G19" s="13"/>
      <c r="H19" s="13"/>
      <c r="I19" s="13"/>
      <c r="J19" s="13"/>
      <c r="K19" s="13"/>
    </row>
    <row r="20" spans="1:11" ht="21.5" thickBot="1">
      <c r="A20" s="169" t="s">
        <v>308</v>
      </c>
      <c r="B20" s="32"/>
      <c r="I20" s="13"/>
      <c r="J20" s="13"/>
      <c r="K20" s="13"/>
    </row>
    <row r="21" spans="1:11" ht="18" thickBot="1">
      <c r="A21" s="168" t="s">
        <v>0</v>
      </c>
      <c r="B21" s="13"/>
      <c r="C21" s="13"/>
      <c r="D21" s="13"/>
      <c r="E21" s="13"/>
      <c r="F21" s="13"/>
      <c r="G21" s="13"/>
      <c r="H21" s="13"/>
      <c r="I21" s="13"/>
      <c r="J21" s="13"/>
      <c r="K21" s="13"/>
    </row>
    <row r="22" spans="1:11" ht="64.5" customHeight="1" thickBot="1">
      <c r="A22" s="235" t="s">
        <v>310</v>
      </c>
      <c r="B22" s="162" t="s">
        <v>354</v>
      </c>
      <c r="C22" s="161" t="s">
        <v>264</v>
      </c>
      <c r="D22" s="162" t="s">
        <v>265</v>
      </c>
      <c r="E22" s="162" t="s">
        <v>266</v>
      </c>
      <c r="F22" s="162" t="s">
        <v>355</v>
      </c>
      <c r="G22" s="274" t="s">
        <v>18</v>
      </c>
      <c r="H22" s="274" t="s">
        <v>19</v>
      </c>
      <c r="I22" s="13"/>
      <c r="J22" s="13"/>
      <c r="K22" s="13"/>
    </row>
    <row r="23" spans="1:11" ht="17">
      <c r="A23" s="157"/>
      <c r="B23" s="223"/>
      <c r="C23" s="118"/>
      <c r="D23" s="223"/>
      <c r="E23" s="118"/>
      <c r="F23" s="223"/>
      <c r="G23" s="333"/>
      <c r="H23" s="171"/>
      <c r="I23" s="13"/>
      <c r="J23" s="13"/>
      <c r="K23" s="13"/>
    </row>
    <row r="24" spans="1:11" ht="21">
      <c r="A24" s="166" t="str">
        <f>+A7</f>
        <v>Electric Utilities</v>
      </c>
      <c r="B24" s="247">
        <v>7.0000000000000007E-2</v>
      </c>
      <c r="C24" s="331">
        <v>0.06</v>
      </c>
      <c r="D24" s="247">
        <v>5.2499999999999998E-2</v>
      </c>
      <c r="E24" s="331">
        <v>4.9500000000000002E-2</v>
      </c>
      <c r="F24" s="247">
        <v>0.06</v>
      </c>
      <c r="G24" s="334">
        <f>MEDIAN(B24:F24)</f>
        <v>0.06</v>
      </c>
      <c r="H24" s="269">
        <f t="shared" ref="H24" si="0">AVERAGE(B24:F24)</f>
        <v>5.8399999999999994E-2</v>
      </c>
      <c r="I24" s="13"/>
      <c r="J24" s="13"/>
      <c r="K24" s="13"/>
    </row>
    <row r="25" spans="1:11" ht="21.5" thickBot="1">
      <c r="A25" s="159" t="s">
        <v>0</v>
      </c>
      <c r="B25" s="224" t="s">
        <v>0</v>
      </c>
      <c r="C25" s="167" t="s">
        <v>0</v>
      </c>
      <c r="D25" s="224" t="s">
        <v>0</v>
      </c>
      <c r="E25" s="167" t="s">
        <v>0</v>
      </c>
      <c r="F25" s="224" t="s">
        <v>0</v>
      </c>
      <c r="G25" s="335"/>
      <c r="H25" s="170"/>
      <c r="I25" s="13"/>
      <c r="J25" s="13"/>
      <c r="K25" s="13"/>
    </row>
    <row r="26" spans="1:11" ht="17">
      <c r="A26" s="13"/>
      <c r="B26" s="13"/>
      <c r="C26" s="13"/>
      <c r="D26" s="13"/>
      <c r="E26" s="13"/>
      <c r="F26" s="13"/>
      <c r="G26" s="13"/>
      <c r="H26" s="13"/>
      <c r="I26" s="13"/>
      <c r="J26" s="13"/>
      <c r="K26" s="13"/>
    </row>
    <row r="27" spans="1:11" ht="17">
      <c r="A27" s="13"/>
      <c r="B27" s="13"/>
      <c r="C27" s="13"/>
      <c r="D27" s="13"/>
      <c r="E27" s="13"/>
      <c r="F27" s="13"/>
      <c r="G27" s="13"/>
      <c r="H27" s="13"/>
      <c r="I27" s="13"/>
      <c r="J27" s="13"/>
      <c r="K27" s="13"/>
    </row>
    <row r="28" spans="1:11" ht="17">
      <c r="A28" s="13"/>
      <c r="B28" s="13" t="s">
        <v>0</v>
      </c>
      <c r="C28" s="13"/>
      <c r="D28" s="13"/>
      <c r="E28" s="13"/>
      <c r="F28" s="13"/>
      <c r="G28" s="13"/>
      <c r="H28" s="13"/>
      <c r="I28" s="13"/>
      <c r="J28" s="13"/>
      <c r="K28" s="13"/>
    </row>
    <row r="29" spans="1:11" ht="17.5" thickBot="1">
      <c r="A29" s="13"/>
      <c r="B29" s="13"/>
      <c r="C29" s="13"/>
      <c r="D29" s="13"/>
      <c r="E29" s="13"/>
      <c r="F29" s="13"/>
      <c r="G29" s="13"/>
      <c r="H29" s="13"/>
      <c r="I29" s="13"/>
      <c r="J29" s="13"/>
      <c r="K29" s="13"/>
    </row>
    <row r="30" spans="1:11" ht="21.5" thickBot="1">
      <c r="A30" s="169" t="s">
        <v>287</v>
      </c>
      <c r="B30" s="13"/>
      <c r="C30" s="13"/>
      <c r="D30" s="13"/>
      <c r="E30" s="13"/>
      <c r="F30" s="13"/>
      <c r="G30" s="13"/>
      <c r="H30" s="13"/>
      <c r="I30" s="13"/>
      <c r="J30" s="13"/>
      <c r="K30" s="13"/>
    </row>
    <row r="31" spans="1:11" ht="17">
      <c r="A31" s="13"/>
      <c r="B31" s="13"/>
      <c r="C31" s="13"/>
      <c r="D31" s="13"/>
      <c r="E31" s="13"/>
      <c r="F31" s="13"/>
      <c r="G31" s="13"/>
      <c r="H31" s="13"/>
      <c r="I31" s="13"/>
      <c r="J31" s="13"/>
      <c r="K31" s="13"/>
    </row>
    <row r="32" spans="1:11" ht="17">
      <c r="A32" s="13"/>
      <c r="B32" s="13"/>
      <c r="C32" s="13"/>
      <c r="D32" s="13"/>
      <c r="E32" s="13"/>
      <c r="F32" s="13"/>
      <c r="G32" s="13"/>
      <c r="H32" s="13"/>
      <c r="I32" s="13"/>
      <c r="J32" s="13"/>
      <c r="K32" s="13"/>
    </row>
    <row r="33" spans="1:11" ht="26">
      <c r="A33" s="393">
        <v>1.84E-2</v>
      </c>
      <c r="B33" s="32" t="s">
        <v>488</v>
      </c>
      <c r="C33" s="13"/>
      <c r="E33" s="210" t="s">
        <v>0</v>
      </c>
      <c r="F33" s="13"/>
      <c r="G33" s="13"/>
      <c r="H33" s="13"/>
      <c r="I33" s="13"/>
      <c r="J33" s="13"/>
      <c r="K33" s="13"/>
    </row>
    <row r="34" spans="1:11" ht="26">
      <c r="A34" s="226"/>
      <c r="B34" s="13" t="s">
        <v>489</v>
      </c>
      <c r="C34" s="13"/>
      <c r="D34" s="13"/>
      <c r="E34" s="13"/>
      <c r="F34" s="13"/>
      <c r="G34" s="13"/>
      <c r="H34" s="13"/>
      <c r="I34" s="13"/>
      <c r="J34" s="13"/>
      <c r="K34" s="13"/>
    </row>
    <row r="35" spans="1:11" ht="26">
      <c r="A35" s="226"/>
      <c r="B35" s="409" t="s">
        <v>335</v>
      </c>
      <c r="C35" s="13"/>
      <c r="D35" s="13"/>
      <c r="E35" s="13"/>
      <c r="F35" s="13"/>
      <c r="G35" s="13"/>
      <c r="H35" s="13"/>
      <c r="I35" s="13"/>
      <c r="J35" s="13"/>
      <c r="K35" s="13"/>
    </row>
    <row r="36" spans="1:11" ht="26">
      <c r="A36" s="337">
        <v>1.7999999999999999E-2</v>
      </c>
      <c r="B36" s="32" t="s">
        <v>288</v>
      </c>
      <c r="C36" s="13"/>
      <c r="D36" s="13"/>
      <c r="E36" s="13"/>
      <c r="F36" s="13"/>
      <c r="G36" s="13"/>
      <c r="H36" s="13"/>
      <c r="I36" s="13"/>
      <c r="J36" s="13"/>
      <c r="K36" s="13"/>
    </row>
    <row r="37" spans="1:11" ht="26">
      <c r="A37" s="225"/>
      <c r="B37" s="227" t="s">
        <v>490</v>
      </c>
      <c r="C37" s="13"/>
      <c r="D37" s="13"/>
      <c r="E37" s="13"/>
      <c r="F37" s="13"/>
      <c r="G37" s="13"/>
      <c r="H37" s="13"/>
      <c r="I37" s="13"/>
      <c r="J37" s="13"/>
      <c r="K37" s="13"/>
    </row>
    <row r="38" spans="1:11" ht="26">
      <c r="A38" s="225"/>
      <c r="B38" s="409" t="s">
        <v>491</v>
      </c>
      <c r="C38" s="13"/>
      <c r="D38" s="13"/>
      <c r="E38" s="13"/>
      <c r="F38" s="13"/>
      <c r="G38" s="13"/>
      <c r="H38" s="13"/>
      <c r="I38" s="13"/>
      <c r="J38" s="13"/>
      <c r="K38" s="13"/>
    </row>
    <row r="39" spans="1:11" ht="26">
      <c r="A39" s="337" t="s">
        <v>492</v>
      </c>
      <c r="B39" s="32" t="s">
        <v>289</v>
      </c>
      <c r="C39" s="13"/>
      <c r="D39" s="13"/>
      <c r="E39" s="13"/>
      <c r="F39" s="13"/>
      <c r="G39" s="13"/>
      <c r="H39" s="13"/>
      <c r="I39" s="13"/>
      <c r="J39" s="13"/>
      <c r="K39" s="13"/>
    </row>
    <row r="40" spans="1:11" ht="26">
      <c r="A40" s="225"/>
      <c r="B40" s="130" t="s">
        <v>493</v>
      </c>
      <c r="C40" s="13"/>
      <c r="D40" s="13"/>
      <c r="E40" s="13"/>
      <c r="F40" s="13"/>
      <c r="G40" s="13"/>
      <c r="H40" s="13"/>
      <c r="I40" s="13"/>
      <c r="J40" s="13"/>
      <c r="K40" s="13"/>
    </row>
    <row r="41" spans="1:11" ht="26">
      <c r="A41" s="225"/>
      <c r="B41" s="409" t="s">
        <v>353</v>
      </c>
      <c r="C41" s="13"/>
      <c r="D41" s="13"/>
      <c r="E41" s="13"/>
      <c r="F41" s="13"/>
      <c r="G41" s="13"/>
      <c r="H41" s="13"/>
      <c r="I41" s="13"/>
      <c r="J41" s="13"/>
      <c r="K41" s="13"/>
    </row>
    <row r="42" spans="1:11" ht="26">
      <c r="A42" s="393">
        <v>1.9E-2</v>
      </c>
      <c r="B42" s="32" t="s">
        <v>476</v>
      </c>
      <c r="C42" s="13"/>
      <c r="D42" s="13"/>
      <c r="E42" s="13"/>
      <c r="F42" s="13"/>
      <c r="G42" s="13"/>
      <c r="H42" s="13"/>
      <c r="I42" s="13"/>
      <c r="J42" s="13"/>
      <c r="K42" s="13"/>
    </row>
    <row r="43" spans="1:11" ht="26">
      <c r="A43" s="225"/>
      <c r="B43" s="13" t="s">
        <v>477</v>
      </c>
      <c r="C43" s="13"/>
      <c r="D43" s="13"/>
      <c r="E43" s="13"/>
      <c r="F43" s="13"/>
      <c r="G43" s="13"/>
      <c r="H43" s="13"/>
      <c r="I43" s="13"/>
      <c r="J43" s="13"/>
      <c r="K43" s="13"/>
    </row>
    <row r="44" spans="1:11" ht="26">
      <c r="A44" s="225"/>
      <c r="B44" s="409" t="s">
        <v>352</v>
      </c>
      <c r="C44" s="13"/>
      <c r="D44" s="13"/>
      <c r="E44" s="13"/>
      <c r="F44" s="13"/>
      <c r="G44" s="13"/>
      <c r="H44" s="13"/>
      <c r="I44" s="13"/>
      <c r="J44" s="13"/>
      <c r="K44" s="13"/>
    </row>
    <row r="45" spans="1:11" ht="26">
      <c r="A45" s="337"/>
      <c r="B45" s="32"/>
      <c r="C45" s="13"/>
      <c r="D45" s="13"/>
      <c r="E45" s="13"/>
      <c r="F45" s="13"/>
      <c r="G45" s="13"/>
      <c r="H45" s="13"/>
      <c r="I45" s="13"/>
      <c r="J45" s="13"/>
      <c r="K45" s="13"/>
    </row>
    <row r="46" spans="1:11" ht="26">
      <c r="A46" s="399" t="s">
        <v>494</v>
      </c>
      <c r="B46" s="400" t="s">
        <v>495</v>
      </c>
      <c r="C46" s="13"/>
      <c r="D46" s="13"/>
      <c r="E46" s="13"/>
      <c r="F46" s="13"/>
      <c r="G46" s="13"/>
      <c r="H46" s="13"/>
      <c r="I46" s="13"/>
      <c r="J46" s="13"/>
      <c r="K46" s="13"/>
    </row>
    <row r="47" spans="1:11" ht="26">
      <c r="A47" s="399" t="s">
        <v>496</v>
      </c>
      <c r="B47" s="409" t="s">
        <v>497</v>
      </c>
      <c r="C47" s="13"/>
      <c r="D47" s="13"/>
      <c r="E47" s="13"/>
      <c r="F47" s="13"/>
      <c r="G47" s="13"/>
      <c r="H47" s="13"/>
      <c r="I47" s="13"/>
      <c r="J47" s="13"/>
      <c r="K47" s="13"/>
    </row>
    <row r="48" spans="1:11" ht="26">
      <c r="A48" s="225" t="s">
        <v>0</v>
      </c>
      <c r="B48" s="13"/>
      <c r="C48" s="13"/>
      <c r="D48" s="13"/>
      <c r="E48" s="13"/>
      <c r="F48" s="13"/>
      <c r="G48" s="13"/>
      <c r="H48" s="13"/>
      <c r="I48" s="13"/>
      <c r="J48" s="13"/>
      <c r="K48" s="13"/>
    </row>
    <row r="49" spans="1:11" ht="21">
      <c r="A49" s="336" t="s">
        <v>302</v>
      </c>
      <c r="B49" s="13"/>
      <c r="C49" s="13"/>
      <c r="D49" s="13"/>
      <c r="E49" s="13"/>
      <c r="F49" s="13"/>
      <c r="G49" s="13"/>
      <c r="H49" s="13"/>
      <c r="I49" s="13"/>
      <c r="J49" s="13"/>
      <c r="K49" s="13"/>
    </row>
    <row r="50" spans="1:11" ht="21">
      <c r="A50" s="32" t="s">
        <v>303</v>
      </c>
      <c r="B50" s="13"/>
      <c r="C50" s="13"/>
      <c r="D50" s="13"/>
      <c r="E50" s="13"/>
      <c r="H50" s="13"/>
      <c r="I50" s="13"/>
      <c r="J50" s="13"/>
      <c r="K50" s="13"/>
    </row>
    <row r="51" spans="1:11" ht="17">
      <c r="A51" s="409" t="s">
        <v>304</v>
      </c>
      <c r="B51" s="13"/>
      <c r="C51" s="13"/>
      <c r="D51" s="13"/>
      <c r="E51" s="13"/>
      <c r="F51" s="13"/>
      <c r="G51" s="13"/>
      <c r="H51" s="13"/>
      <c r="I51" s="13"/>
      <c r="J51" s="13"/>
      <c r="K51" s="13"/>
    </row>
    <row r="52" spans="1:11" ht="17">
      <c r="A52" s="152"/>
      <c r="B52" s="13"/>
      <c r="C52" s="13"/>
      <c r="D52" s="13"/>
      <c r="E52" s="13"/>
      <c r="F52" s="13"/>
      <c r="G52" s="13" t="s">
        <v>0</v>
      </c>
      <c r="H52" s="13" t="s">
        <v>0</v>
      </c>
      <c r="I52" s="13"/>
      <c r="J52" s="13"/>
      <c r="K52" s="13"/>
    </row>
    <row r="53" spans="1:11" ht="17">
      <c r="A53" s="13"/>
      <c r="B53" s="13"/>
      <c r="C53" s="13"/>
      <c r="D53" s="13"/>
      <c r="E53" s="13"/>
      <c r="F53" s="13"/>
      <c r="G53" s="13" t="s">
        <v>0</v>
      </c>
      <c r="H53" s="13"/>
      <c r="I53" s="13"/>
      <c r="J53" s="13"/>
      <c r="K53" s="13"/>
    </row>
    <row r="54" spans="1:11" ht="17.5" thickBot="1">
      <c r="A54" s="13"/>
      <c r="B54" s="13"/>
      <c r="C54" s="13"/>
      <c r="D54" s="13"/>
      <c r="E54" s="13"/>
      <c r="F54" s="13"/>
      <c r="G54" s="13" t="s">
        <v>0</v>
      </c>
      <c r="H54" s="13"/>
      <c r="I54" s="13"/>
      <c r="J54" s="13"/>
      <c r="K54" s="13"/>
    </row>
    <row r="55" spans="1:11" ht="18.75" customHeight="1" thickBot="1">
      <c r="A55" s="169" t="s">
        <v>286</v>
      </c>
      <c r="B55" s="45" t="s">
        <v>423</v>
      </c>
      <c r="C55" s="13"/>
      <c r="D55" s="13"/>
      <c r="E55" s="13"/>
      <c r="F55" s="13"/>
      <c r="G55" s="13"/>
      <c r="H55" s="13"/>
      <c r="I55" s="412" t="s">
        <v>522</v>
      </c>
      <c r="J55" s="13"/>
      <c r="K55" s="13"/>
    </row>
    <row r="56" spans="1:11" ht="15" customHeight="1">
      <c r="A56" s="13"/>
      <c r="B56" s="13"/>
      <c r="C56" s="13"/>
      <c r="D56" s="13"/>
      <c r="E56" s="13"/>
      <c r="F56" s="13"/>
      <c r="G56" s="401" t="s">
        <v>498</v>
      </c>
      <c r="H56" s="402" t="s">
        <v>499</v>
      </c>
      <c r="I56" s="413">
        <v>1.76</v>
      </c>
      <c r="J56" s="13"/>
      <c r="K56" s="13"/>
    </row>
    <row r="57" spans="1:11" ht="23.25" customHeight="1">
      <c r="A57" s="337">
        <v>2.2100000000000002E-2</v>
      </c>
      <c r="B57" s="32" t="s">
        <v>424</v>
      </c>
      <c r="C57" s="13"/>
      <c r="E57" s="13"/>
      <c r="G57" s="403" t="s">
        <v>500</v>
      </c>
      <c r="H57" s="404" t="s">
        <v>501</v>
      </c>
      <c r="I57" s="413">
        <v>1.74</v>
      </c>
      <c r="J57" s="13"/>
      <c r="K57" s="13"/>
    </row>
    <row r="58" spans="1:11" ht="23.25" customHeight="1">
      <c r="A58" s="337">
        <v>2.41E-2</v>
      </c>
      <c r="B58" s="32" t="s">
        <v>425</v>
      </c>
      <c r="C58" s="13"/>
      <c r="E58" s="13"/>
      <c r="G58" s="403" t="s">
        <v>502</v>
      </c>
      <c r="H58" s="404" t="s">
        <v>503</v>
      </c>
      <c r="I58" s="413">
        <v>1.84</v>
      </c>
      <c r="J58" s="13"/>
      <c r="K58" s="13"/>
    </row>
    <row r="59" spans="1:11" ht="23.25" customHeight="1">
      <c r="A59" s="337">
        <v>2.1700000000000001E-2</v>
      </c>
      <c r="B59" s="32" t="s">
        <v>426</v>
      </c>
      <c r="C59" s="13"/>
      <c r="D59" s="13"/>
      <c r="E59" s="13"/>
      <c r="G59" s="405" t="s">
        <v>504</v>
      </c>
      <c r="H59" s="406" t="s">
        <v>505</v>
      </c>
      <c r="I59" s="414">
        <v>1.91</v>
      </c>
      <c r="J59" s="13"/>
      <c r="K59" s="13"/>
    </row>
    <row r="60" spans="1:11" ht="23.25" customHeight="1">
      <c r="A60" s="337"/>
      <c r="B60" s="32"/>
      <c r="C60" s="13"/>
      <c r="D60" s="13"/>
      <c r="E60" s="13"/>
      <c r="G60" s="15"/>
      <c r="H60" s="153"/>
      <c r="I60" s="13"/>
      <c r="J60" s="13"/>
      <c r="K60" s="13"/>
    </row>
    <row r="61" spans="1:11" ht="23.25" customHeight="1">
      <c r="A61" s="338" t="s">
        <v>478</v>
      </c>
      <c r="B61" s="32"/>
      <c r="C61" s="13"/>
      <c r="D61" s="13"/>
      <c r="E61" s="13"/>
      <c r="F61" s="332"/>
      <c r="G61" s="89"/>
      <c r="H61" s="13"/>
      <c r="I61" s="13"/>
      <c r="J61" s="13"/>
      <c r="K61" s="13"/>
    </row>
    <row r="62" spans="1:11" ht="23.25" customHeight="1">
      <c r="A62" s="337"/>
      <c r="B62" s="32"/>
      <c r="C62" s="13"/>
      <c r="D62" s="13"/>
      <c r="E62" s="13"/>
      <c r="F62" s="332"/>
      <c r="G62" s="89"/>
      <c r="H62" s="13"/>
      <c r="I62" s="13"/>
      <c r="J62" s="13"/>
      <c r="K62" s="13"/>
    </row>
    <row r="63" spans="1:11" ht="23.25" customHeight="1">
      <c r="A63" s="337">
        <v>2.3E-2</v>
      </c>
      <c r="B63" s="32" t="s">
        <v>294</v>
      </c>
      <c r="C63" s="13"/>
      <c r="D63" s="13"/>
      <c r="E63" s="13"/>
      <c r="F63" s="13"/>
      <c r="G63" s="13"/>
      <c r="H63" s="13"/>
      <c r="I63" s="13"/>
      <c r="J63" s="13"/>
      <c r="K63" s="13"/>
    </row>
    <row r="64" spans="1:11" ht="23.25" customHeight="1">
      <c r="A64" s="337">
        <v>2.2599999999999999E-2</v>
      </c>
      <c r="B64" s="32" t="s">
        <v>295</v>
      </c>
      <c r="C64" s="13"/>
      <c r="D64" s="13"/>
      <c r="E64" s="13"/>
      <c r="F64" s="13"/>
      <c r="G64" s="13"/>
      <c r="H64" s="13"/>
      <c r="I64" s="13"/>
      <c r="J64" s="13"/>
      <c r="K64" s="13"/>
    </row>
    <row r="65" spans="1:11" ht="23.25" customHeight="1">
      <c r="A65" s="337">
        <v>2.24E-2</v>
      </c>
      <c r="B65" s="32" t="s">
        <v>296</v>
      </c>
      <c r="C65" s="13"/>
      <c r="D65" s="13"/>
      <c r="E65" s="13"/>
      <c r="F65" s="13"/>
      <c r="G65" s="13"/>
      <c r="H65" s="13"/>
      <c r="I65" s="13"/>
      <c r="J65" s="13"/>
      <c r="K65" s="13"/>
    </row>
    <row r="66" spans="1:11" ht="24" customHeight="1">
      <c r="A66" s="337">
        <v>2.1999999999999999E-2</v>
      </c>
      <c r="B66" s="32" t="s">
        <v>479</v>
      </c>
      <c r="C66" s="13"/>
      <c r="D66" s="13"/>
      <c r="E66" s="13"/>
      <c r="F66" s="13"/>
      <c r="G66" s="13"/>
      <c r="H66" s="13"/>
      <c r="I66" s="13"/>
      <c r="J66" s="13"/>
      <c r="K66" s="13"/>
    </row>
    <row r="67" spans="1:11" ht="27.75" customHeight="1">
      <c r="A67" s="337">
        <v>0.02</v>
      </c>
      <c r="B67" s="32" t="s">
        <v>292</v>
      </c>
      <c r="C67" s="13"/>
      <c r="D67" s="13"/>
      <c r="E67" s="13"/>
      <c r="F67" s="13"/>
      <c r="G67" s="13"/>
      <c r="H67" s="13"/>
      <c r="I67" s="13"/>
      <c r="J67" s="13"/>
      <c r="K67" s="13"/>
    </row>
    <row r="68" spans="1:11" ht="27" customHeight="1">
      <c r="B68" s="13" t="s">
        <v>0</v>
      </c>
      <c r="C68" s="13"/>
      <c r="D68" s="13"/>
      <c r="E68" s="13"/>
      <c r="F68" s="13"/>
      <c r="G68" s="13"/>
      <c r="H68" s="13"/>
      <c r="I68" s="13"/>
      <c r="J68" s="13"/>
      <c r="K68" s="13"/>
    </row>
    <row r="69" spans="1:11" ht="20.25" customHeight="1">
      <c r="A69" s="13"/>
      <c r="B69" s="13"/>
      <c r="C69" s="13"/>
      <c r="D69" s="13"/>
      <c r="E69" s="13"/>
      <c r="F69" s="13"/>
      <c r="G69" s="13"/>
      <c r="H69" s="13"/>
      <c r="I69" s="13"/>
      <c r="J69" s="13"/>
      <c r="K69" s="13"/>
    </row>
    <row r="70" spans="1:11" ht="18.75" customHeight="1" thickBot="1">
      <c r="B70" s="13"/>
      <c r="C70" s="13"/>
      <c r="D70" s="30"/>
      <c r="E70" s="30"/>
      <c r="F70" s="30"/>
      <c r="G70" s="13"/>
      <c r="H70" s="13"/>
      <c r="I70" s="13"/>
      <c r="J70" s="13"/>
      <c r="K70" s="13"/>
    </row>
    <row r="71" spans="1:11" ht="18.75" customHeight="1">
      <c r="B71" s="32"/>
      <c r="C71" s="32"/>
      <c r="D71" s="13"/>
      <c r="E71" s="33" t="s">
        <v>248</v>
      </c>
      <c r="F71" s="13"/>
      <c r="G71" s="13"/>
      <c r="H71" s="13"/>
      <c r="I71" s="13"/>
      <c r="J71" s="13"/>
      <c r="K71" s="13"/>
    </row>
    <row r="72" spans="1:11" ht="15" customHeight="1" thickBot="1">
      <c r="A72" s="155"/>
      <c r="B72" s="32"/>
      <c r="C72" s="32"/>
      <c r="D72" s="30"/>
      <c r="E72" s="34" t="s">
        <v>521</v>
      </c>
      <c r="F72" s="30"/>
      <c r="G72" s="13"/>
      <c r="H72" s="13"/>
      <c r="I72" s="13"/>
      <c r="J72" s="13"/>
      <c r="K72" s="13"/>
    </row>
    <row r="73" spans="1:11" ht="21" customHeight="1" thickBot="1">
      <c r="A73" s="154" t="s">
        <v>249</v>
      </c>
      <c r="B73" s="32"/>
      <c r="C73" s="32"/>
      <c r="D73" s="36"/>
      <c r="E73" s="151"/>
      <c r="F73" s="13"/>
      <c r="G73" s="13"/>
      <c r="H73" s="13"/>
      <c r="I73" s="13"/>
      <c r="J73" s="13"/>
      <c r="K73" s="13"/>
    </row>
    <row r="74" spans="1:11" ht="15" customHeight="1">
      <c r="A74" s="40" t="s">
        <v>0</v>
      </c>
      <c r="B74" s="40"/>
      <c r="C74" s="40"/>
      <c r="D74" s="42" t="s">
        <v>0</v>
      </c>
      <c r="E74" s="42" t="s">
        <v>0</v>
      </c>
      <c r="F74" s="42" t="s">
        <v>0</v>
      </c>
      <c r="G74" s="42"/>
      <c r="H74" s="13"/>
      <c r="I74" s="13"/>
    </row>
    <row r="75" spans="1:11" ht="17">
      <c r="A75" s="36" t="s">
        <v>0</v>
      </c>
      <c r="B75" s="36"/>
      <c r="C75" s="36"/>
      <c r="D75" s="188" t="s">
        <v>112</v>
      </c>
      <c r="E75" s="188" t="s">
        <v>291</v>
      </c>
      <c r="F75" s="188" t="s">
        <v>161</v>
      </c>
      <c r="G75" s="270"/>
      <c r="H75" s="13"/>
      <c r="I75" s="13"/>
    </row>
    <row r="76" spans="1:11" ht="17">
      <c r="A76" s="127" t="s">
        <v>159</v>
      </c>
      <c r="B76" s="127"/>
      <c r="C76" s="127"/>
      <c r="D76" s="189" t="s">
        <v>114</v>
      </c>
      <c r="E76" s="189" t="s">
        <v>160</v>
      </c>
      <c r="F76" s="189" t="s">
        <v>162</v>
      </c>
      <c r="G76" s="270"/>
      <c r="H76" s="13"/>
      <c r="I76" s="13"/>
    </row>
    <row r="77" spans="1:11" ht="15.75" customHeight="1"/>
    <row r="78" spans="1:11" ht="15.75" customHeight="1"/>
    <row r="79" spans="1:11" ht="15.75" customHeight="1">
      <c r="A79" s="172" t="s">
        <v>297</v>
      </c>
      <c r="B79" s="173"/>
      <c r="C79" s="219"/>
      <c r="D79" s="181">
        <f>+A57</f>
        <v>2.2100000000000002E-2</v>
      </c>
      <c r="E79" s="181">
        <v>1.7399999999999999E-2</v>
      </c>
      <c r="F79" s="174">
        <f t="shared" ref="F79:F86" si="1">+D79+E79</f>
        <v>3.95E-2</v>
      </c>
      <c r="G79" s="271"/>
      <c r="H79" s="13"/>
      <c r="I79" s="13"/>
    </row>
    <row r="80" spans="1:11" ht="15.75" customHeight="1">
      <c r="A80" s="175" t="s">
        <v>298</v>
      </c>
      <c r="B80" s="65"/>
      <c r="C80" s="220"/>
      <c r="D80" s="339">
        <f>+A58</f>
        <v>2.41E-2</v>
      </c>
      <c r="E80" s="339">
        <v>1.84E-2</v>
      </c>
      <c r="F80" s="176">
        <f t="shared" si="1"/>
        <v>4.2499999999999996E-2</v>
      </c>
      <c r="G80" s="271"/>
      <c r="H80" s="13"/>
      <c r="I80" s="13"/>
    </row>
    <row r="81" spans="1:9" ht="15.75" customHeight="1">
      <c r="A81" s="177" t="s">
        <v>299</v>
      </c>
      <c r="B81" s="178"/>
      <c r="C81" s="221"/>
      <c r="D81" s="182">
        <f>+A59</f>
        <v>2.1700000000000001E-2</v>
      </c>
      <c r="E81" s="182">
        <v>1.9099999999999999E-2</v>
      </c>
      <c r="F81" s="179">
        <f t="shared" si="1"/>
        <v>4.0800000000000003E-2</v>
      </c>
      <c r="G81" s="271"/>
      <c r="H81" s="13"/>
      <c r="I81" s="13"/>
    </row>
    <row r="82" spans="1:9" ht="15.75" customHeight="1">
      <c r="A82" s="175" t="s">
        <v>300</v>
      </c>
      <c r="B82" s="65"/>
      <c r="C82" s="220"/>
      <c r="D82" s="339">
        <f t="shared" ref="D82:D84" si="2">+A63</f>
        <v>2.3E-2</v>
      </c>
      <c r="E82" s="339">
        <v>0.02</v>
      </c>
      <c r="F82" s="176">
        <f t="shared" si="1"/>
        <v>4.2999999999999997E-2</v>
      </c>
      <c r="G82" s="271"/>
      <c r="H82" s="13"/>
      <c r="I82" s="13"/>
    </row>
    <row r="83" spans="1:9" ht="15.75" customHeight="1">
      <c r="A83" s="175" t="s">
        <v>301</v>
      </c>
      <c r="B83" s="65"/>
      <c r="C83" s="220"/>
      <c r="D83" s="339">
        <f t="shared" si="2"/>
        <v>2.2599999999999999E-2</v>
      </c>
      <c r="E83" s="339">
        <v>1.9E-2</v>
      </c>
      <c r="F83" s="176">
        <f t="shared" si="1"/>
        <v>4.1599999999999998E-2</v>
      </c>
      <c r="G83" s="271"/>
      <c r="H83" s="13"/>
      <c r="I83" s="13"/>
    </row>
    <row r="84" spans="1:9" ht="15.75" customHeight="1">
      <c r="A84" s="175" t="s">
        <v>480</v>
      </c>
      <c r="B84" s="65"/>
      <c r="C84" s="220"/>
      <c r="D84" s="339">
        <f t="shared" si="2"/>
        <v>2.24E-2</v>
      </c>
      <c r="E84" s="339">
        <v>0.02</v>
      </c>
      <c r="F84" s="176">
        <f t="shared" si="1"/>
        <v>4.24E-2</v>
      </c>
      <c r="G84" s="271"/>
      <c r="H84" s="13"/>
      <c r="I84" s="13"/>
    </row>
    <row r="85" spans="1:9" ht="15.75" customHeight="1">
      <c r="A85" s="175" t="s">
        <v>481</v>
      </c>
      <c r="B85" s="65"/>
      <c r="C85" s="220"/>
      <c r="D85" s="339">
        <f>+A66</f>
        <v>2.1999999999999999E-2</v>
      </c>
      <c r="E85" s="339">
        <v>1.9E-2</v>
      </c>
      <c r="F85" s="176">
        <f t="shared" si="1"/>
        <v>4.0999999999999995E-2</v>
      </c>
      <c r="G85" s="271"/>
      <c r="H85" s="13"/>
      <c r="I85" s="13"/>
    </row>
    <row r="86" spans="1:9" ht="15.75" customHeight="1">
      <c r="A86" s="177" t="s">
        <v>293</v>
      </c>
      <c r="B86" s="178"/>
      <c r="C86" s="221"/>
      <c r="D86" s="182">
        <f>+A67</f>
        <v>0.02</v>
      </c>
      <c r="E86" s="182">
        <v>1.7999999999999999E-2</v>
      </c>
      <c r="F86" s="179">
        <f t="shared" si="1"/>
        <v>3.7999999999999999E-2</v>
      </c>
      <c r="G86" s="271"/>
      <c r="H86" s="13"/>
      <c r="I86" s="13"/>
    </row>
    <row r="87" spans="1:9" ht="15.75" customHeight="1">
      <c r="A87" s="113"/>
      <c r="B87" s="121"/>
      <c r="C87" s="121" t="s">
        <v>65</v>
      </c>
      <c r="D87" s="180">
        <v>2.5499999999999998E-2</v>
      </c>
      <c r="E87" s="180">
        <f t="shared" ref="E87" si="3">MAX(E79:E86)</f>
        <v>0.02</v>
      </c>
      <c r="F87" s="180">
        <v>4.5199999999999997E-2</v>
      </c>
      <c r="G87" s="272"/>
      <c r="H87" s="13"/>
      <c r="I87" s="13"/>
    </row>
    <row r="88" spans="1:9" ht="15.75" customHeight="1">
      <c r="A88" s="113"/>
      <c r="B88" s="121"/>
      <c r="C88" s="121" t="s">
        <v>66</v>
      </c>
      <c r="D88" s="180">
        <v>0.02</v>
      </c>
      <c r="E88" s="180">
        <f t="shared" ref="E88" si="4">MIN(E79:E86)</f>
        <v>1.7399999999999999E-2</v>
      </c>
      <c r="F88" s="232">
        <v>3.6999999999999998E-2</v>
      </c>
      <c r="G88" s="272"/>
      <c r="H88" s="13"/>
      <c r="I88" s="13"/>
    </row>
    <row r="89" spans="1:9" ht="17.25" customHeight="1">
      <c r="A89" s="113"/>
      <c r="B89" s="121"/>
      <c r="C89" s="121" t="s">
        <v>18</v>
      </c>
      <c r="D89" s="181">
        <f>MEDIAN(D79:D86)</f>
        <v>2.2249999999999999E-2</v>
      </c>
      <c r="E89" s="181">
        <f>MEDIAN(E79:E86)</f>
        <v>1.9E-2</v>
      </c>
      <c r="F89" s="176">
        <f t="shared" ref="F89:F90" si="5">+D89+E89</f>
        <v>4.1249999999999995E-2</v>
      </c>
      <c r="G89" s="271"/>
      <c r="H89" s="13"/>
      <c r="I89" s="13"/>
    </row>
    <row r="90" spans="1:9" ht="21" customHeight="1">
      <c r="A90" s="113"/>
      <c r="B90" s="121"/>
      <c r="C90" s="121" t="s">
        <v>19</v>
      </c>
      <c r="D90" s="182">
        <f>AVERAGE(D79:D86)</f>
        <v>2.2237499999999997E-2</v>
      </c>
      <c r="E90" s="182">
        <f>AVERAGE(E79:E86)</f>
        <v>1.8862499999999997E-2</v>
      </c>
      <c r="F90" s="179">
        <f t="shared" si="5"/>
        <v>4.1099999999999998E-2</v>
      </c>
      <c r="G90" s="271"/>
      <c r="H90" s="13"/>
      <c r="I90" s="13"/>
    </row>
    <row r="91" spans="1:9" ht="21" customHeight="1">
      <c r="A91" s="13"/>
      <c r="B91" s="15"/>
    </row>
    <row r="92" spans="1:9" ht="21" customHeight="1" thickBot="1">
      <c r="A92" s="13"/>
      <c r="B92" s="15"/>
    </row>
    <row r="93" spans="1:9" ht="24" customHeight="1" thickBot="1">
      <c r="A93" s="13"/>
      <c r="B93" s="128"/>
      <c r="C93" s="51" t="s">
        <v>250</v>
      </c>
      <c r="D93" s="407">
        <v>2.2200000000000001E-2</v>
      </c>
      <c r="E93" s="407">
        <v>1.89E-2</v>
      </c>
      <c r="F93" s="340">
        <f>+D93+E93</f>
        <v>4.1099999999999998E-2</v>
      </c>
    </row>
    <row r="94" spans="1:9" ht="22.5" customHeight="1">
      <c r="A94" s="13"/>
      <c r="B94" s="13"/>
      <c r="C94" s="13"/>
      <c r="D94" s="13"/>
      <c r="E94" s="13"/>
      <c r="F94" s="13"/>
      <c r="G94" s="13"/>
      <c r="I94" s="13"/>
    </row>
    <row r="95" spans="1:9" ht="15" customHeight="1">
      <c r="A95" s="13"/>
      <c r="B95" s="13"/>
      <c r="C95" s="13"/>
      <c r="D95" s="13"/>
      <c r="E95" s="13"/>
      <c r="F95" s="13"/>
      <c r="G95" s="13"/>
      <c r="I95" s="13" t="s">
        <v>0</v>
      </c>
    </row>
    <row r="96" spans="1:9" ht="16.5" customHeight="1">
      <c r="A96" s="13"/>
      <c r="B96" s="13"/>
      <c r="C96" s="13"/>
      <c r="D96" s="13"/>
      <c r="E96" s="13"/>
      <c r="F96" s="13"/>
      <c r="G96" s="13"/>
      <c r="H96" s="13"/>
      <c r="I96" s="13"/>
    </row>
    <row r="97" spans="1:9" ht="15" customHeight="1">
      <c r="A97" s="129" t="s">
        <v>182</v>
      </c>
      <c r="B97" s="130"/>
      <c r="C97" s="130"/>
      <c r="D97" s="130"/>
      <c r="E97" s="131"/>
      <c r="F97" s="130"/>
      <c r="G97" s="130"/>
      <c r="H97" s="130"/>
      <c r="I97" s="13"/>
    </row>
    <row r="98" spans="1:9" ht="15" customHeight="1">
      <c r="A98" s="452" t="s">
        <v>506</v>
      </c>
      <c r="B98" s="452"/>
      <c r="C98" s="452"/>
      <c r="D98" s="452"/>
      <c r="E98" s="452"/>
      <c r="F98" s="452"/>
      <c r="G98" s="452"/>
      <c r="H98" s="452"/>
      <c r="I98" s="13"/>
    </row>
    <row r="99" spans="1:9" ht="15" customHeight="1">
      <c r="A99" s="409" t="s">
        <v>422</v>
      </c>
      <c r="B99" s="130"/>
      <c r="C99" s="409" t="s">
        <v>0</v>
      </c>
      <c r="D99" s="130"/>
      <c r="E99" s="131"/>
      <c r="F99" s="130"/>
      <c r="G99" s="130"/>
      <c r="H99" s="130"/>
      <c r="I99" s="13"/>
    </row>
    <row r="100" spans="1:9" ht="15" customHeight="1">
      <c r="A100" s="129"/>
      <c r="B100" s="130"/>
      <c r="C100" s="130"/>
      <c r="D100" s="130"/>
      <c r="E100" s="131"/>
      <c r="F100" s="130"/>
      <c r="G100" s="130"/>
      <c r="H100" s="130"/>
      <c r="I100" s="13"/>
    </row>
    <row r="101" spans="1:9" ht="15" customHeight="1">
      <c r="A101" s="452" t="s">
        <v>507</v>
      </c>
      <c r="B101" s="452"/>
      <c r="C101" s="452"/>
      <c r="D101" s="452"/>
      <c r="E101" s="452"/>
      <c r="F101" s="452"/>
      <c r="G101" s="452"/>
      <c r="H101" s="452"/>
      <c r="I101" s="13"/>
    </row>
    <row r="102" spans="1:9" ht="15" customHeight="1">
      <c r="A102" s="132" t="s">
        <v>183</v>
      </c>
      <c r="B102" s="133"/>
      <c r="C102" s="133" t="s">
        <v>0</v>
      </c>
      <c r="D102" s="133"/>
      <c r="E102" s="133"/>
      <c r="F102" s="133"/>
      <c r="G102" s="133"/>
      <c r="H102" s="130"/>
      <c r="I102" s="13"/>
    </row>
    <row r="103" spans="1:9" ht="15" customHeight="1">
      <c r="A103" s="132"/>
      <c r="B103" s="133"/>
      <c r="C103" s="133"/>
      <c r="D103" s="133"/>
      <c r="E103" s="133"/>
      <c r="F103" s="133"/>
      <c r="G103" s="133"/>
      <c r="H103" s="130"/>
      <c r="I103" s="13"/>
    </row>
    <row r="104" spans="1:9" ht="15" customHeight="1">
      <c r="A104" s="452" t="s">
        <v>508</v>
      </c>
      <c r="B104" s="452"/>
      <c r="C104" s="452"/>
      <c r="D104" s="452"/>
      <c r="E104" s="452"/>
      <c r="F104" s="452"/>
      <c r="G104" s="452"/>
      <c r="H104" s="452"/>
      <c r="I104" s="13"/>
    </row>
    <row r="105" spans="1:9" ht="15" customHeight="1">
      <c r="A105" s="132" t="s">
        <v>183</v>
      </c>
      <c r="B105" s="133"/>
      <c r="C105" s="133" t="s">
        <v>0</v>
      </c>
      <c r="D105" s="133"/>
      <c r="E105" s="133"/>
      <c r="F105" s="133"/>
      <c r="G105" s="133"/>
      <c r="H105" s="130"/>
      <c r="I105" s="13"/>
    </row>
    <row r="106" spans="1:9" ht="15" customHeight="1">
      <c r="A106" s="132"/>
      <c r="B106" s="133"/>
      <c r="C106" s="133"/>
      <c r="D106" s="133"/>
      <c r="E106" s="133"/>
      <c r="F106" s="133"/>
      <c r="G106" s="133"/>
      <c r="H106" s="130"/>
      <c r="I106" s="13"/>
    </row>
    <row r="107" spans="1:9" ht="15" customHeight="1">
      <c r="A107" s="452" t="s">
        <v>509</v>
      </c>
      <c r="B107" s="452"/>
      <c r="C107" s="452"/>
      <c r="D107" s="452"/>
      <c r="E107" s="452"/>
      <c r="F107" s="452"/>
      <c r="G107" s="452"/>
      <c r="H107" s="452"/>
      <c r="I107" s="13"/>
    </row>
    <row r="108" spans="1:9" ht="15" customHeight="1">
      <c r="A108" s="410" t="s">
        <v>184</v>
      </c>
      <c r="B108" s="133"/>
      <c r="C108" s="133"/>
      <c r="D108" s="13"/>
      <c r="E108" s="133"/>
      <c r="F108" s="133"/>
      <c r="G108" s="133"/>
      <c r="H108" s="130"/>
      <c r="I108" s="13"/>
    </row>
    <row r="109" spans="1:9" ht="15" customHeight="1">
      <c r="A109" s="409" t="s">
        <v>510</v>
      </c>
      <c r="B109" s="133"/>
      <c r="C109" s="133"/>
      <c r="D109" s="133"/>
      <c r="E109" s="133"/>
      <c r="F109" s="133"/>
      <c r="G109" s="133"/>
      <c r="H109" s="130"/>
      <c r="I109" s="13"/>
    </row>
    <row r="110" spans="1:9" ht="15" customHeight="1">
      <c r="A110" s="409"/>
      <c r="B110" s="133"/>
      <c r="C110" s="133"/>
      <c r="D110" s="133"/>
      <c r="E110" s="133"/>
      <c r="F110" s="133"/>
      <c r="G110" s="133"/>
      <c r="H110" s="130"/>
      <c r="I110" s="13"/>
    </row>
    <row r="111" spans="1:9" ht="15" customHeight="1">
      <c r="A111" s="134" t="s">
        <v>511</v>
      </c>
      <c r="B111" s="134"/>
      <c r="C111" s="134"/>
      <c r="D111" s="134"/>
      <c r="E111" s="134"/>
      <c r="F111" s="134"/>
      <c r="G111" s="134"/>
      <c r="H111" s="130"/>
      <c r="I111" s="13"/>
    </row>
    <row r="112" spans="1:9" ht="15" customHeight="1">
      <c r="A112" s="410" t="s">
        <v>185</v>
      </c>
      <c r="B112" s="133"/>
      <c r="C112" s="13"/>
      <c r="D112" s="133"/>
      <c r="E112" s="13"/>
      <c r="F112" s="133"/>
      <c r="G112" s="133"/>
      <c r="H112" s="130"/>
      <c r="I112" s="13"/>
    </row>
    <row r="113" spans="1:9" ht="17">
      <c r="A113" s="409" t="s">
        <v>482</v>
      </c>
      <c r="B113" s="133"/>
      <c r="C113" s="409"/>
      <c r="D113" s="133"/>
      <c r="E113" s="13"/>
      <c r="F113" s="133"/>
      <c r="G113" s="133"/>
      <c r="H113" s="130"/>
      <c r="I113" s="13"/>
    </row>
    <row r="114" spans="1:9" ht="17">
      <c r="A114" s="411" t="s">
        <v>512</v>
      </c>
      <c r="B114" s="409" t="s">
        <v>497</v>
      </c>
      <c r="C114" s="135"/>
      <c r="D114" s="135"/>
      <c r="E114" s="135"/>
      <c r="F114" s="135"/>
      <c r="G114" s="135"/>
      <c r="H114" s="136"/>
    </row>
    <row r="115" spans="1:9" ht="17">
      <c r="A115" s="13"/>
      <c r="B115" s="409"/>
      <c r="C115" s="135"/>
      <c r="D115" s="135"/>
      <c r="E115" s="135"/>
      <c r="F115" s="135"/>
      <c r="G115" s="135"/>
      <c r="H115" s="136"/>
    </row>
    <row r="116" spans="1:9" ht="17">
      <c r="A116" s="134" t="s">
        <v>513</v>
      </c>
      <c r="B116" s="13"/>
      <c r="C116" s="13"/>
      <c r="D116" s="13"/>
      <c r="E116" s="13"/>
      <c r="F116" s="13"/>
      <c r="G116" s="13"/>
      <c r="H116" s="13"/>
    </row>
    <row r="117" spans="1:9" ht="17">
      <c r="A117" s="409" t="s">
        <v>491</v>
      </c>
      <c r="B117" s="13"/>
      <c r="C117" s="409" t="s">
        <v>0</v>
      </c>
      <c r="D117" s="13"/>
      <c r="E117" s="13"/>
      <c r="F117" s="13"/>
      <c r="G117" s="13"/>
      <c r="H117" s="13"/>
    </row>
    <row r="121" spans="1:9" ht="21">
      <c r="A121" s="246"/>
    </row>
    <row r="122" spans="1:9" ht="21">
      <c r="A122" s="246"/>
    </row>
    <row r="123" spans="1:9" ht="21">
      <c r="A123" s="246"/>
    </row>
    <row r="126" spans="1:9">
      <c r="A126" t="s">
        <v>0</v>
      </c>
    </row>
    <row r="130" spans="1:1">
      <c r="A130" t="s">
        <v>0</v>
      </c>
    </row>
    <row r="147" spans="1:1">
      <c r="A147" t="s">
        <v>0</v>
      </c>
    </row>
  </sheetData>
  <mergeCells count="4">
    <mergeCell ref="A107:H107"/>
    <mergeCell ref="A98:H98"/>
    <mergeCell ref="A101:H101"/>
    <mergeCell ref="A104:H104"/>
  </mergeCells>
  <hyperlinks>
    <hyperlink ref="A51" r:id="rId1" xr:uid="{E230F42D-1124-43C1-8F5D-077788F54B1C}"/>
    <hyperlink ref="B35" r:id="rId2" xr:uid="{0B6B7216-32B2-4EC1-B14C-BC368C365180}"/>
    <hyperlink ref="B41" r:id="rId3" xr:uid="{539E5F5A-DCF8-4EDF-A905-07A8330E3258}"/>
    <hyperlink ref="B47" r:id="rId4" xr:uid="{04BA5485-46C1-471D-81C8-1A2749A8ADBE}"/>
    <hyperlink ref="A102" r:id="rId5" xr:uid="{717D9A72-6F9C-4FDF-BA46-FDC63526130F}"/>
    <hyperlink ref="A112" r:id="rId6" location="4" xr:uid="{B200020A-C9B8-476B-BEB9-E3A94D4B9CE2}"/>
    <hyperlink ref="A108" r:id="rId7" xr:uid="{E40D4C78-A997-4521-8E95-71EA28CF09F9}"/>
    <hyperlink ref="A105" r:id="rId8" xr:uid="{5AD1285A-DB52-4D90-AF7E-D9A946BD0FED}"/>
    <hyperlink ref="A99" r:id="rId9" xr:uid="{A20BA8FE-5D06-46DB-BF37-0BA60E86DD62}"/>
    <hyperlink ref="C99" r:id="rId10" display="https://www.federalreserve.gov/datadownload/Preview.aspx?pi=400&amp;rel=H15&amp;preview=%20H15/H15/RIFLGFCY05_N.WF" xr:uid="{AC4A8A49-49E6-455A-927F-A12AB7A80182}"/>
    <hyperlink ref="A113" r:id="rId11" xr:uid="{78B17961-54D1-41BF-AD87-676E2DA0A30A}"/>
    <hyperlink ref="C117" r:id="rId12" display="https://www.federalreserve.gov/monetarypolicy/files/fomcprojtabl20231213.pdf" xr:uid="{2B9FC811-0B2F-4995-BCCD-FA8F39F630AE}"/>
    <hyperlink ref="A117" r:id="rId13" xr:uid="{7625D574-6147-4501-8CD0-41446BBB4E61}"/>
    <hyperlink ref="A109" r:id="rId14" display="https://www.philadelphiafed.org/-/media/frbp/assets/surveys-and-data/survey-of-professional-forecasters/2024/spfq124.pdf" xr:uid="{F09DBE77-EABE-4477-8C31-3D8CB2B96C56}"/>
    <hyperlink ref="B114" r:id="rId15" xr:uid="{196085DA-17F1-47B3-A37F-BAD90B94344B}"/>
  </hyperlinks>
  <pageMargins left="0.25" right="0.25" top="0.75" bottom="0.75" header="0.3" footer="0.3"/>
  <pageSetup scale="28" fitToWidth="0" orientation="portrait"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E4C5F-277C-4B9C-9271-640BB89134E7}">
  <sheetPr>
    <tabColor rgb="FF92D050"/>
    <pageSetUpPr fitToPage="1"/>
  </sheetPr>
  <dimension ref="A1:I105"/>
  <sheetViews>
    <sheetView view="pageBreakPreview" topLeftCell="A11" zoomScale="70" zoomScaleNormal="80" zoomScaleSheetLayoutView="70" workbookViewId="0">
      <selection activeCell="D14" sqref="D14:D39"/>
    </sheetView>
  </sheetViews>
  <sheetFormatPr defaultRowHeight="14.5"/>
  <cols>
    <col min="1" max="1" width="45.7265625" customWidth="1"/>
    <col min="2" max="2" width="22.7265625" customWidth="1"/>
    <col min="3" max="3" width="72.1796875" customWidth="1"/>
    <col min="4" max="4" width="34.54296875" customWidth="1"/>
    <col min="5" max="5" width="21.7265625" customWidth="1"/>
    <col min="6" max="6" width="17" customWidth="1"/>
    <col min="7" max="7" width="24.81640625" customWidth="1"/>
    <col min="8" max="8" width="18" customWidth="1"/>
    <col min="9" max="9" width="20.81640625" customWidth="1"/>
    <col min="10" max="10" width="19" customWidth="1"/>
    <col min="11" max="11" width="17.26953125" customWidth="1"/>
    <col min="12" max="12" width="24.1796875" customWidth="1"/>
  </cols>
  <sheetData>
    <row r="1" spans="1:9" ht="25.5">
      <c r="A1" s="25" t="s">
        <v>1</v>
      </c>
      <c r="B1" s="13"/>
      <c r="C1" s="13"/>
      <c r="D1" s="13"/>
      <c r="E1" s="13"/>
      <c r="F1" s="13"/>
      <c r="G1" s="13"/>
      <c r="H1" s="13"/>
      <c r="I1" s="13"/>
    </row>
    <row r="2" spans="1:9" ht="17.5">
      <c r="A2" s="65" t="s">
        <v>9</v>
      </c>
      <c r="B2" s="13"/>
      <c r="C2" s="13"/>
      <c r="D2" s="13"/>
      <c r="E2" s="13"/>
      <c r="F2" s="13"/>
      <c r="G2" s="13"/>
      <c r="H2" s="13"/>
      <c r="I2" s="13"/>
    </row>
    <row r="3" spans="1:9" ht="17">
      <c r="A3" s="27" t="s">
        <v>483</v>
      </c>
      <c r="B3" s="13"/>
      <c r="C3" s="13"/>
      <c r="D3" s="13"/>
      <c r="E3" s="13"/>
      <c r="F3" s="13"/>
      <c r="G3" s="13"/>
      <c r="H3" s="13"/>
      <c r="I3" s="13"/>
    </row>
    <row r="4" spans="1:9" ht="17">
      <c r="A4" s="13"/>
      <c r="B4" s="13"/>
      <c r="C4" s="13"/>
      <c r="D4" s="13"/>
      <c r="E4" s="13"/>
      <c r="F4" s="13"/>
      <c r="G4" s="13"/>
      <c r="H4" s="13"/>
      <c r="I4" s="13"/>
    </row>
    <row r="5" spans="1:9" ht="18" thickBot="1">
      <c r="A5" s="65"/>
      <c r="B5" s="13"/>
      <c r="C5" s="13"/>
      <c r="D5" s="13"/>
      <c r="E5" s="13"/>
      <c r="F5" s="13"/>
      <c r="G5" s="13"/>
      <c r="H5" s="13"/>
      <c r="I5" s="13"/>
    </row>
    <row r="6" spans="1:9" ht="21.5" thickBot="1">
      <c r="A6" s="275" t="str">
        <f>+'S&amp;D'!A12</f>
        <v>Electric Utilities</v>
      </c>
      <c r="B6" s="203"/>
      <c r="C6" s="13"/>
      <c r="D6" s="13"/>
      <c r="E6" s="13"/>
      <c r="F6" s="13"/>
      <c r="G6" s="13"/>
      <c r="H6" s="13"/>
      <c r="I6" s="13"/>
    </row>
    <row r="7" spans="1:9" ht="30.75" customHeight="1" thickBot="1">
      <c r="A7" s="65"/>
      <c r="B7" s="13"/>
      <c r="C7" s="30"/>
      <c r="E7" s="13"/>
      <c r="F7" s="13"/>
      <c r="G7" s="13"/>
      <c r="H7" s="13"/>
      <c r="I7" s="13"/>
    </row>
    <row r="8" spans="1:9" ht="25.5">
      <c r="B8" s="13"/>
      <c r="C8" s="33" t="s">
        <v>192</v>
      </c>
      <c r="E8" s="13"/>
      <c r="F8" s="13"/>
      <c r="G8" s="13"/>
      <c r="H8" s="13"/>
      <c r="I8" s="13"/>
    </row>
    <row r="9" spans="1:9" ht="21.5" thickBot="1">
      <c r="A9" s="32"/>
      <c r="B9" s="13"/>
      <c r="C9" s="34" t="s">
        <v>484</v>
      </c>
      <c r="E9" s="13"/>
      <c r="F9" s="13"/>
      <c r="G9" s="13"/>
      <c r="H9" s="13"/>
      <c r="I9" s="13"/>
    </row>
    <row r="10" spans="1:9" ht="21">
      <c r="A10" s="32"/>
      <c r="B10" s="13"/>
      <c r="C10" s="13"/>
      <c r="D10" s="13"/>
      <c r="E10" s="13"/>
      <c r="F10" s="13"/>
      <c r="G10" s="13"/>
      <c r="H10" s="13"/>
      <c r="I10" s="13"/>
    </row>
    <row r="11" spans="1:9" ht="27.75" customHeight="1" thickBot="1">
      <c r="A11" s="13"/>
      <c r="B11" s="13"/>
      <c r="C11" s="13"/>
      <c r="D11" s="13"/>
      <c r="E11" s="13"/>
      <c r="F11" s="13"/>
      <c r="G11" s="13"/>
      <c r="H11" s="13"/>
      <c r="I11" s="13"/>
    </row>
    <row r="12" spans="1:9" ht="17">
      <c r="A12" s="13"/>
      <c r="B12" s="13"/>
      <c r="C12" s="81" t="s">
        <v>0</v>
      </c>
      <c r="D12" s="81" t="s">
        <v>226</v>
      </c>
      <c r="E12" s="13"/>
      <c r="F12" s="13"/>
      <c r="G12" s="13"/>
      <c r="H12" s="13"/>
      <c r="I12" s="13"/>
    </row>
    <row r="13" spans="1:9" ht="21.5" thickBot="1">
      <c r="A13" s="13"/>
      <c r="B13" s="13"/>
      <c r="C13" s="354" t="s">
        <v>191</v>
      </c>
      <c r="D13" s="83" t="s">
        <v>322</v>
      </c>
      <c r="E13" s="13"/>
      <c r="F13" s="13"/>
      <c r="G13" s="13"/>
      <c r="H13" s="13"/>
      <c r="I13" s="13"/>
    </row>
    <row r="14" spans="1:9" ht="17.5">
      <c r="A14" s="13"/>
      <c r="B14" s="13"/>
      <c r="C14" s="358" t="s">
        <v>437</v>
      </c>
      <c r="D14" s="359">
        <f>+CAPM!F16</f>
        <v>6.8745000000000001E-2</v>
      </c>
      <c r="E14" s="360"/>
      <c r="F14" s="13"/>
      <c r="G14" s="13"/>
      <c r="H14" s="13"/>
      <c r="I14" s="13"/>
    </row>
    <row r="15" spans="1:9" ht="17.5">
      <c r="A15" s="13"/>
      <c r="B15" s="13"/>
      <c r="C15" s="280" t="s">
        <v>438</v>
      </c>
      <c r="D15" s="361">
        <f>+CAPM!F17</f>
        <v>7.0360000000000006E-2</v>
      </c>
      <c r="E15" s="360"/>
      <c r="F15" s="13"/>
      <c r="G15" s="13"/>
      <c r="H15" s="13"/>
      <c r="I15" s="13"/>
    </row>
    <row r="16" spans="1:9" ht="17.5">
      <c r="A16" s="13"/>
      <c r="B16" s="13"/>
      <c r="C16" s="280" t="s">
        <v>455</v>
      </c>
      <c r="D16" s="361">
        <f>+CAPM!F19</f>
        <v>8.4799999999999986E-2</v>
      </c>
      <c r="E16" s="360"/>
      <c r="F16" s="13"/>
      <c r="G16" s="13"/>
      <c r="H16" s="13"/>
      <c r="I16" s="13"/>
    </row>
    <row r="17" spans="1:9" ht="17.5">
      <c r="A17" s="13"/>
      <c r="B17" s="13"/>
      <c r="C17" s="280" t="s">
        <v>474</v>
      </c>
      <c r="D17" s="361">
        <f>+CAPM!F20</f>
        <v>9.8764999999999992E-2</v>
      </c>
      <c r="E17" s="360"/>
      <c r="F17" s="13"/>
      <c r="G17" s="13"/>
      <c r="H17" s="13"/>
      <c r="I17" s="13"/>
    </row>
    <row r="18" spans="1:9" ht="17.5">
      <c r="A18" s="13"/>
      <c r="B18" s="13"/>
      <c r="C18" s="280" t="s">
        <v>453</v>
      </c>
      <c r="D18" s="361">
        <f>+CAPM!F21</f>
        <v>8.3184999999999995E-2</v>
      </c>
      <c r="E18" s="360"/>
      <c r="F18" s="13"/>
      <c r="G18" s="13"/>
      <c r="H18" s="13"/>
      <c r="I18" s="13"/>
    </row>
    <row r="19" spans="1:9" ht="17.5">
      <c r="A19" s="13"/>
      <c r="B19" s="13"/>
      <c r="C19" s="280" t="s">
        <v>454</v>
      </c>
      <c r="D19" s="361">
        <f>+CAPM!F22</f>
        <v>8.1854999999999997E-2</v>
      </c>
      <c r="E19" s="360"/>
      <c r="F19" s="13"/>
      <c r="G19" s="13"/>
      <c r="H19" s="13"/>
      <c r="I19" s="13"/>
    </row>
    <row r="20" spans="1:9" ht="17.5">
      <c r="A20" s="13"/>
      <c r="B20" s="13"/>
      <c r="C20" s="280" t="s">
        <v>193</v>
      </c>
      <c r="D20" s="361">
        <f>+CAPM!F24</f>
        <v>8.8029999999999997E-2</v>
      </c>
      <c r="E20" s="360"/>
      <c r="F20" s="13"/>
      <c r="G20" s="13"/>
      <c r="H20" s="13"/>
      <c r="I20" s="13"/>
    </row>
    <row r="21" spans="1:9" ht="17.5">
      <c r="A21" s="13"/>
      <c r="B21" s="13"/>
      <c r="C21" s="280" t="s">
        <v>194</v>
      </c>
      <c r="D21" s="361">
        <f>+CAPM!F26</f>
        <v>9.5250000000000001E-2</v>
      </c>
      <c r="E21" s="360"/>
      <c r="F21" s="13"/>
      <c r="G21" s="13"/>
      <c r="H21" s="13"/>
      <c r="I21" s="13"/>
    </row>
    <row r="22" spans="1:9" ht="17.5">
      <c r="A22" s="13"/>
      <c r="B22" s="13"/>
      <c r="C22" s="373" t="s">
        <v>195</v>
      </c>
      <c r="D22" s="361">
        <f>+CAPM!F28</f>
        <v>0.10237499999999999</v>
      </c>
      <c r="E22" s="360"/>
      <c r="F22" s="13"/>
      <c r="G22" s="13"/>
      <c r="H22" s="13"/>
      <c r="I22" s="13"/>
    </row>
    <row r="23" spans="1:9" ht="17.5">
      <c r="A23" s="13"/>
      <c r="B23" s="13"/>
      <c r="C23" s="373" t="s">
        <v>196</v>
      </c>
      <c r="D23" s="361">
        <f>+CAPM!F29</f>
        <v>9.0404999999999999E-2</v>
      </c>
      <c r="E23" s="398"/>
      <c r="G23" s="13"/>
      <c r="H23" s="13"/>
      <c r="I23" s="13"/>
    </row>
    <row r="24" spans="1:9" ht="17.5">
      <c r="A24" s="13"/>
      <c r="B24" s="13"/>
      <c r="C24" s="376" t="s">
        <v>465</v>
      </c>
      <c r="D24" s="372">
        <f>+CAPM!F31</f>
        <v>0.10921499999999999</v>
      </c>
      <c r="E24" s="362"/>
      <c r="F24" s="13"/>
      <c r="G24" s="13"/>
      <c r="H24" s="13"/>
      <c r="I24" s="13"/>
    </row>
    <row r="25" spans="1:9" ht="17.5">
      <c r="A25" s="13"/>
      <c r="B25" s="13"/>
      <c r="C25" s="376" t="s">
        <v>466</v>
      </c>
      <c r="D25" s="372">
        <f>+CAPM!F32</f>
        <v>0.10019</v>
      </c>
      <c r="E25" s="362"/>
      <c r="F25" s="13"/>
      <c r="G25" s="13"/>
      <c r="H25" s="13"/>
      <c r="I25" s="13"/>
    </row>
    <row r="26" spans="1:9" ht="17.5">
      <c r="A26" s="13"/>
      <c r="B26" s="13"/>
      <c r="C26" s="376" t="s">
        <v>467</v>
      </c>
      <c r="D26" s="372">
        <f>+CAPM!F33</f>
        <v>9.3349999999999989E-2</v>
      </c>
      <c r="E26" s="362"/>
      <c r="F26" s="13"/>
      <c r="G26" s="13"/>
      <c r="H26" s="13"/>
      <c r="I26" s="13"/>
    </row>
    <row r="27" spans="1:9" ht="17.5">
      <c r="A27" s="13"/>
      <c r="B27" s="13"/>
      <c r="C27" s="373" t="s">
        <v>439</v>
      </c>
      <c r="D27" s="372">
        <f>+CAPM!G42</f>
        <v>6.9108749999999997E-2</v>
      </c>
      <c r="E27" s="360"/>
      <c r="F27" s="13"/>
      <c r="G27" s="13"/>
      <c r="H27" s="13"/>
      <c r="I27" s="13"/>
    </row>
    <row r="28" spans="1:9" ht="17.5">
      <c r="A28" s="13"/>
      <c r="B28" s="13"/>
      <c r="C28" s="373" t="s">
        <v>440</v>
      </c>
      <c r="D28" s="372">
        <f>+CAPM!G43</f>
        <v>7.0745000000000002E-2</v>
      </c>
      <c r="E28" s="360"/>
      <c r="F28" s="13"/>
      <c r="G28" s="13"/>
      <c r="H28" s="13"/>
      <c r="I28" s="13"/>
    </row>
    <row r="29" spans="1:9" ht="17.5">
      <c r="A29" s="13"/>
      <c r="B29" s="13"/>
      <c r="C29" s="280" t="s">
        <v>456</v>
      </c>
      <c r="D29" s="372">
        <f>+CAPM!G45</f>
        <v>8.5374999999999993E-2</v>
      </c>
      <c r="E29" s="360"/>
      <c r="F29" s="13"/>
      <c r="G29" s="13"/>
      <c r="H29" s="13"/>
      <c r="I29" s="13"/>
    </row>
    <row r="30" spans="1:9" ht="17.5">
      <c r="A30" s="13"/>
      <c r="B30" s="13"/>
      <c r="C30" s="280" t="s">
        <v>473</v>
      </c>
      <c r="D30" s="372">
        <f>+CAPM!G46</f>
        <v>9.9523749999999994E-2</v>
      </c>
      <c r="E30" s="360"/>
      <c r="F30" s="13"/>
      <c r="G30" s="13"/>
      <c r="H30" s="13"/>
      <c r="I30" s="13"/>
    </row>
    <row r="31" spans="1:9" ht="17.5">
      <c r="A31" s="13"/>
      <c r="B31" s="13"/>
      <c r="C31" s="280" t="s">
        <v>457</v>
      </c>
      <c r="D31" s="372">
        <f>+CAPM!G47</f>
        <v>8.3738750000000001E-2</v>
      </c>
      <c r="E31" s="360"/>
      <c r="F31" s="13"/>
      <c r="G31" s="13"/>
      <c r="H31" s="13"/>
      <c r="I31" s="13"/>
    </row>
    <row r="32" spans="1:9" ht="17.5">
      <c r="A32" s="13"/>
      <c r="B32" s="13"/>
      <c r="C32" s="280" t="s">
        <v>458</v>
      </c>
      <c r="D32" s="372">
        <f>+CAPM!G48</f>
        <v>8.2391249999999999E-2</v>
      </c>
      <c r="E32" s="360"/>
      <c r="F32" s="13"/>
      <c r="G32" s="13"/>
      <c r="H32" s="13"/>
      <c r="I32" s="13"/>
    </row>
    <row r="33" spans="1:9" ht="17.5">
      <c r="A33" s="13"/>
      <c r="B33" s="13"/>
      <c r="C33" s="373" t="s">
        <v>197</v>
      </c>
      <c r="D33" s="372">
        <f>+CAPM!G50</f>
        <v>8.864749999999999E-2</v>
      </c>
      <c r="E33" s="360"/>
      <c r="F33" s="13"/>
      <c r="G33" s="13"/>
      <c r="H33" s="13"/>
      <c r="I33" s="13"/>
    </row>
    <row r="34" spans="1:9" ht="17.5">
      <c r="A34" s="13"/>
      <c r="B34" s="13"/>
      <c r="C34" s="373" t="s">
        <v>198</v>
      </c>
      <c r="D34" s="372">
        <f>+CAPM!G52</f>
        <v>9.5962499999999992E-2</v>
      </c>
      <c r="E34" s="360"/>
      <c r="F34" s="13"/>
      <c r="G34" s="13"/>
      <c r="H34" s="13"/>
      <c r="I34" s="13"/>
    </row>
    <row r="35" spans="1:9" ht="17.5">
      <c r="A35" s="13"/>
      <c r="B35" s="13"/>
      <c r="C35" s="374" t="s">
        <v>199</v>
      </c>
      <c r="D35" s="372">
        <f>+CAPM!G54</f>
        <v>0.10318125</v>
      </c>
      <c r="E35" s="360"/>
      <c r="F35" s="13"/>
      <c r="G35" s="13"/>
      <c r="H35" s="13"/>
      <c r="I35" s="13"/>
    </row>
    <row r="36" spans="1:9" ht="17.5">
      <c r="A36" s="13"/>
      <c r="B36" s="13"/>
      <c r="C36" s="373" t="s">
        <v>200</v>
      </c>
      <c r="D36" s="372">
        <f>+CAPM!G55</f>
        <v>9.1053750000000003E-2</v>
      </c>
      <c r="E36" s="360"/>
      <c r="F36" s="13"/>
      <c r="G36" s="13"/>
      <c r="H36" s="13"/>
      <c r="I36" s="13"/>
    </row>
    <row r="37" spans="1:9" ht="16.5" customHeight="1">
      <c r="A37" s="13"/>
      <c r="B37" s="13"/>
      <c r="C37" s="376" t="s">
        <v>468</v>
      </c>
      <c r="D37" s="372">
        <f>+CAPM!G57</f>
        <v>0.11011124999999999</v>
      </c>
      <c r="E37" s="360" t="s">
        <v>0</v>
      </c>
      <c r="F37" s="13"/>
      <c r="G37" s="13"/>
      <c r="H37" s="13"/>
      <c r="I37" s="13"/>
    </row>
    <row r="38" spans="1:9" ht="16.5" customHeight="1">
      <c r="A38" s="13"/>
      <c r="B38" s="13"/>
      <c r="C38" s="376" t="s">
        <v>469</v>
      </c>
      <c r="D38" s="372">
        <f>+CAPM!G58</f>
        <v>0.10096749999999999</v>
      </c>
      <c r="E38" s="360"/>
      <c r="F38" s="13"/>
      <c r="G38" s="13"/>
      <c r="H38" s="13"/>
      <c r="I38" s="13"/>
    </row>
    <row r="39" spans="1:9" ht="18.75" customHeight="1">
      <c r="A39" s="13"/>
      <c r="B39" s="13"/>
      <c r="C39" s="376" t="s">
        <v>470</v>
      </c>
      <c r="D39" s="372">
        <f>+CAPM!G59</f>
        <v>9.4037499999999996E-2</v>
      </c>
      <c r="E39" s="363"/>
      <c r="F39" s="13"/>
      <c r="G39" s="13"/>
      <c r="H39" s="13"/>
      <c r="I39" s="13"/>
    </row>
    <row r="40" spans="1:9" ht="21.75" customHeight="1">
      <c r="A40" s="13"/>
      <c r="B40" s="13"/>
      <c r="C40" s="375" t="s">
        <v>275</v>
      </c>
      <c r="D40" s="222">
        <f>+'Single Stage Div Growth Model'!I39</f>
        <v>8.4699999999999998E-2</v>
      </c>
      <c r="G40" s="13"/>
      <c r="H40" s="13"/>
      <c r="I40" s="13"/>
    </row>
    <row r="41" spans="1:9" ht="21.75" customHeight="1">
      <c r="A41" s="13"/>
      <c r="B41" s="13"/>
      <c r="C41" s="375" t="s">
        <v>274</v>
      </c>
      <c r="D41" s="222">
        <f>+'Single Stage Div Growth Model'!I41</f>
        <v>9.7799999999999998E-2</v>
      </c>
      <c r="G41" s="13"/>
      <c r="H41" s="13"/>
      <c r="I41" s="13"/>
    </row>
    <row r="42" spans="1:9" ht="21.75" customHeight="1">
      <c r="A42" s="13"/>
      <c r="B42" s="13"/>
      <c r="C42" s="364" t="s">
        <v>276</v>
      </c>
      <c r="D42" s="365">
        <f>+'Two-Stage Dividend Growth Model'!H43</f>
        <v>9.3899999999999997E-2</v>
      </c>
      <c r="E42" s="13"/>
      <c r="F42" s="84" t="s">
        <v>0</v>
      </c>
      <c r="G42" s="85" t="s">
        <v>0</v>
      </c>
      <c r="H42" s="13"/>
      <c r="I42" s="13"/>
    </row>
    <row r="43" spans="1:9" ht="21.75" customHeight="1">
      <c r="A43" s="13"/>
      <c r="B43" s="13"/>
      <c r="C43" s="350" t="s">
        <v>402</v>
      </c>
      <c r="D43" s="351">
        <f>+'Direct NOPAT'!G77</f>
        <v>7.7499999999999999E-2</v>
      </c>
      <c r="E43" s="195" t="s">
        <v>0</v>
      </c>
      <c r="F43" s="13"/>
      <c r="G43" s="13"/>
      <c r="H43" s="13"/>
      <c r="I43" s="13"/>
    </row>
    <row r="44" spans="1:9" ht="17.5" thickBot="1">
      <c r="A44" s="13"/>
      <c r="B44" s="13"/>
      <c r="C44" s="13"/>
      <c r="D44" s="73"/>
      <c r="E44" s="13"/>
      <c r="F44" s="13"/>
      <c r="G44" s="13"/>
      <c r="H44" s="13"/>
      <c r="I44" s="13"/>
    </row>
    <row r="45" spans="1:9" ht="17.5" thickTop="1">
      <c r="A45" s="13"/>
      <c r="B45" s="13"/>
      <c r="C45" s="15" t="s">
        <v>65</v>
      </c>
      <c r="D45" s="54">
        <f>MAX(D14:D42)</f>
        <v>0.11011124999999999</v>
      </c>
      <c r="E45" s="151"/>
      <c r="F45" s="13"/>
      <c r="G45" s="13"/>
      <c r="H45" s="13"/>
      <c r="I45" s="13"/>
    </row>
    <row r="46" spans="1:9" ht="17">
      <c r="A46" s="13"/>
      <c r="B46" s="13"/>
      <c r="C46" s="15" t="s">
        <v>66</v>
      </c>
      <c r="D46" s="353">
        <f>MIN(D14:D42)</f>
        <v>6.8745000000000001E-2</v>
      </c>
      <c r="E46" s="13"/>
      <c r="F46" s="13"/>
      <c r="G46" s="54"/>
      <c r="H46" s="54"/>
      <c r="I46" s="54"/>
    </row>
    <row r="47" spans="1:9" ht="17">
      <c r="A47" s="13"/>
      <c r="B47" s="13"/>
      <c r="C47" s="15" t="s">
        <v>18</v>
      </c>
      <c r="D47" s="85">
        <f>MEDIAN(D14:D42)</f>
        <v>9.1053750000000003E-2</v>
      </c>
      <c r="E47" s="85"/>
      <c r="F47" s="85"/>
      <c r="G47" s="85"/>
      <c r="H47" s="85"/>
      <c r="I47" s="85"/>
    </row>
    <row r="48" spans="1:9" ht="17">
      <c r="A48" s="13"/>
      <c r="B48" s="13"/>
      <c r="C48" s="15" t="s">
        <v>441</v>
      </c>
      <c r="D48" s="86">
        <f>AVERAGE(D14:D42)</f>
        <v>9.0267887931034477E-2</v>
      </c>
      <c r="E48" s="86"/>
      <c r="F48" s="86"/>
      <c r="G48" s="86"/>
      <c r="H48" s="86"/>
      <c r="I48" s="86"/>
    </row>
    <row r="49" spans="1:9" ht="17">
      <c r="A49" s="13"/>
      <c r="B49" s="13"/>
      <c r="C49" s="15" t="s">
        <v>452</v>
      </c>
      <c r="D49" s="86">
        <f>HARMEAN(D14:D42)</f>
        <v>8.8800723316658531E-2</v>
      </c>
      <c r="E49" s="86"/>
      <c r="F49" s="86"/>
      <c r="G49" s="86"/>
      <c r="H49" s="86"/>
      <c r="I49" s="86"/>
    </row>
    <row r="50" spans="1:9" ht="35.25" customHeight="1" thickBot="1">
      <c r="A50" s="13"/>
      <c r="B50" s="13"/>
      <c r="C50" s="13"/>
      <c r="D50" s="13" t="s">
        <v>229</v>
      </c>
      <c r="E50" s="13"/>
      <c r="F50" s="13"/>
      <c r="G50" s="13"/>
      <c r="H50" s="13"/>
      <c r="I50" s="13"/>
    </row>
    <row r="51" spans="1:9" ht="26" thickBot="1">
      <c r="A51" s="13"/>
      <c r="B51" s="13"/>
      <c r="C51" s="212" t="s">
        <v>283</v>
      </c>
      <c r="D51" s="397">
        <v>9.0300000000000005E-2</v>
      </c>
      <c r="E51" s="87"/>
      <c r="F51" s="87"/>
    </row>
    <row r="52" spans="1:9" ht="25.5">
      <c r="A52" s="13"/>
      <c r="B52" s="13"/>
      <c r="C52" s="51"/>
      <c r="D52" s="377"/>
      <c r="E52" s="87"/>
      <c r="F52" s="87"/>
    </row>
    <row r="53" spans="1:9" ht="25.5">
      <c r="A53" s="13"/>
      <c r="B53" s="13"/>
      <c r="C53" s="51"/>
      <c r="D53" s="377"/>
      <c r="E53" s="87"/>
      <c r="F53" s="87"/>
    </row>
    <row r="54" spans="1:9" ht="17">
      <c r="B54" s="13"/>
      <c r="C54" s="13"/>
      <c r="D54" s="13"/>
      <c r="E54" s="13"/>
      <c r="F54" s="13"/>
      <c r="G54" s="13"/>
      <c r="H54" s="13"/>
      <c r="I54" s="13"/>
    </row>
    <row r="55" spans="1:9" ht="17">
      <c r="B55" s="13"/>
      <c r="C55" s="13"/>
      <c r="D55" s="13"/>
      <c r="E55" s="13"/>
      <c r="F55" s="13"/>
      <c r="G55" s="13"/>
      <c r="H55" s="13"/>
      <c r="I55" s="13"/>
    </row>
    <row r="56" spans="1:9" ht="17">
      <c r="A56" s="13"/>
      <c r="B56" s="13"/>
      <c r="C56" s="13"/>
      <c r="D56" s="13"/>
      <c r="E56" s="13"/>
      <c r="F56" s="13"/>
      <c r="G56" s="13"/>
      <c r="H56" s="13"/>
      <c r="I56" s="13"/>
    </row>
    <row r="57" spans="1:9" ht="17">
      <c r="A57" s="13"/>
      <c r="B57" s="13"/>
      <c r="C57" s="13"/>
      <c r="D57" s="13"/>
      <c r="E57" s="13"/>
      <c r="F57" s="13"/>
      <c r="G57" s="13"/>
      <c r="H57" s="13"/>
      <c r="I57" s="13"/>
    </row>
    <row r="58" spans="1:9" ht="17">
      <c r="A58" s="13"/>
      <c r="B58" s="13"/>
      <c r="C58" s="13"/>
      <c r="D58" s="13"/>
      <c r="E58" s="13"/>
      <c r="F58" s="13"/>
      <c r="G58" s="13"/>
      <c r="H58" s="13"/>
      <c r="I58" s="13"/>
    </row>
    <row r="59" spans="1:9" ht="17.5">
      <c r="A59" s="113" t="s">
        <v>284</v>
      </c>
      <c r="B59" s="13"/>
      <c r="C59" s="13"/>
      <c r="D59" s="13" t="s">
        <v>0</v>
      </c>
      <c r="E59" s="13"/>
      <c r="F59" s="13"/>
      <c r="G59" s="13"/>
      <c r="H59" s="13"/>
      <c r="I59" s="13"/>
    </row>
    <row r="60" spans="1:9" ht="17.5">
      <c r="A60" s="453" t="s">
        <v>405</v>
      </c>
      <c r="B60" s="453"/>
      <c r="C60" s="453"/>
      <c r="D60" s="453"/>
      <c r="E60" s="453"/>
      <c r="F60" s="13"/>
      <c r="G60" s="13"/>
      <c r="H60" s="13"/>
      <c r="I60" s="13"/>
    </row>
    <row r="61" spans="1:9" ht="17">
      <c r="A61" s="13"/>
      <c r="B61" s="13"/>
      <c r="C61" s="13"/>
      <c r="D61" s="13"/>
      <c r="E61" s="13"/>
      <c r="F61" s="13"/>
      <c r="G61" s="13"/>
      <c r="H61" s="13"/>
      <c r="I61" s="13"/>
    </row>
    <row r="62" spans="1:9" ht="17">
      <c r="A62" s="13"/>
      <c r="B62" s="13"/>
      <c r="C62" s="13"/>
      <c r="D62" s="13"/>
      <c r="E62" s="13"/>
      <c r="F62" s="13"/>
      <c r="G62" s="13"/>
      <c r="H62" s="13"/>
      <c r="I62" s="13"/>
    </row>
    <row r="63" spans="1:9" ht="17">
      <c r="A63" s="13"/>
      <c r="B63" s="13"/>
      <c r="C63" s="13"/>
      <c r="D63" s="13"/>
      <c r="E63" s="13"/>
      <c r="F63" s="13"/>
      <c r="G63" s="13"/>
      <c r="H63" s="13"/>
      <c r="I63" s="13"/>
    </row>
    <row r="64" spans="1:9" ht="17">
      <c r="A64" s="13"/>
      <c r="B64" s="13"/>
      <c r="C64" s="13"/>
      <c r="D64" s="13"/>
      <c r="E64" s="13"/>
      <c r="F64" s="13"/>
      <c r="G64" s="13"/>
      <c r="H64" s="13"/>
      <c r="I64" s="13"/>
    </row>
    <row r="65" spans="1:9" ht="17">
      <c r="A65" s="13"/>
      <c r="B65" s="13"/>
      <c r="C65" s="13"/>
      <c r="D65" s="13"/>
      <c r="E65" s="13"/>
      <c r="F65" s="13"/>
      <c r="G65" s="13"/>
      <c r="H65" s="13"/>
      <c r="I65" s="13"/>
    </row>
    <row r="66" spans="1:9" ht="17">
      <c r="A66" s="13"/>
      <c r="B66" s="13"/>
      <c r="C66" s="13"/>
      <c r="D66" s="13"/>
      <c r="E66" s="13"/>
      <c r="F66" s="13"/>
      <c r="G66" s="13"/>
      <c r="H66" s="13"/>
      <c r="I66" s="13"/>
    </row>
    <row r="67" spans="1:9" ht="17">
      <c r="A67" s="13"/>
      <c r="B67" s="13"/>
      <c r="C67" s="13"/>
      <c r="D67" s="13"/>
      <c r="E67" s="13"/>
      <c r="F67" s="13"/>
      <c r="G67" s="13"/>
      <c r="H67" s="13"/>
      <c r="I67" s="13"/>
    </row>
    <row r="68" spans="1:9" ht="17">
      <c r="A68" s="13"/>
      <c r="B68" s="13"/>
      <c r="C68" s="13"/>
      <c r="D68" s="13"/>
      <c r="E68" s="13"/>
      <c r="F68" s="13"/>
      <c r="G68" s="13"/>
      <c r="H68" s="13"/>
      <c r="I68" s="13"/>
    </row>
    <row r="69" spans="1:9" ht="17">
      <c r="A69" s="13"/>
      <c r="B69" s="13"/>
      <c r="C69" s="13"/>
      <c r="D69" s="13"/>
      <c r="E69" s="13"/>
      <c r="F69" s="13"/>
      <c r="G69" s="13"/>
      <c r="H69" s="13"/>
      <c r="I69" s="13"/>
    </row>
    <row r="70" spans="1:9" ht="17">
      <c r="A70" s="13"/>
      <c r="B70" s="13"/>
      <c r="C70" s="13"/>
      <c r="D70" s="13"/>
      <c r="E70" s="13"/>
      <c r="F70" s="13"/>
      <c r="G70" s="13"/>
      <c r="H70" s="13"/>
      <c r="I70" s="13"/>
    </row>
    <row r="71" spans="1:9" ht="17">
      <c r="A71" s="13"/>
      <c r="B71" s="13"/>
      <c r="C71" s="13"/>
      <c r="D71" s="13"/>
      <c r="E71" s="13"/>
      <c r="F71" s="13"/>
      <c r="G71" s="13"/>
      <c r="H71" s="13"/>
      <c r="I71" s="13"/>
    </row>
    <row r="72" spans="1:9" ht="17">
      <c r="A72" s="13"/>
      <c r="B72" s="13"/>
      <c r="C72" s="13"/>
      <c r="D72" s="13"/>
      <c r="E72" s="13"/>
      <c r="F72" s="13"/>
      <c r="G72" s="13"/>
      <c r="H72" s="13"/>
      <c r="I72" s="13"/>
    </row>
    <row r="73" spans="1:9" ht="17">
      <c r="A73" s="13"/>
      <c r="B73" s="13"/>
      <c r="C73" s="13"/>
      <c r="D73" s="13"/>
      <c r="E73" s="13"/>
      <c r="F73" s="13"/>
      <c r="G73" s="13"/>
      <c r="H73" s="13"/>
      <c r="I73" s="13"/>
    </row>
    <row r="74" spans="1:9" ht="17">
      <c r="A74" s="13"/>
      <c r="B74" s="13"/>
      <c r="C74" s="13"/>
      <c r="D74" s="13"/>
      <c r="E74" s="13"/>
      <c r="F74" s="13"/>
      <c r="G74" s="13"/>
      <c r="H74" s="13"/>
      <c r="I74" s="13"/>
    </row>
    <row r="75" spans="1:9" ht="17">
      <c r="A75" s="13"/>
      <c r="B75" s="13"/>
      <c r="C75" s="13"/>
      <c r="D75" s="13"/>
      <c r="E75" s="13"/>
      <c r="F75" s="13"/>
      <c r="G75" s="13"/>
      <c r="H75" s="13"/>
      <c r="I75" s="13"/>
    </row>
    <row r="76" spans="1:9" ht="17">
      <c r="A76" s="13"/>
      <c r="B76" s="13"/>
      <c r="C76" s="13"/>
      <c r="D76" s="13"/>
      <c r="E76" s="13"/>
      <c r="F76" s="13"/>
      <c r="G76" s="13"/>
      <c r="H76" s="13"/>
      <c r="I76" s="13"/>
    </row>
    <row r="77" spans="1:9" ht="17">
      <c r="A77" s="13"/>
      <c r="B77" s="13"/>
      <c r="C77" s="13"/>
      <c r="D77" s="13"/>
      <c r="E77" s="13"/>
      <c r="F77" s="13"/>
      <c r="G77" s="13"/>
      <c r="H77" s="13"/>
      <c r="I77" s="13"/>
    </row>
    <row r="78" spans="1:9" ht="17">
      <c r="A78" s="13"/>
      <c r="B78" s="13"/>
      <c r="C78" s="13"/>
      <c r="D78" s="13"/>
      <c r="E78" s="13"/>
      <c r="F78" s="13"/>
      <c r="G78" s="13"/>
      <c r="H78" s="13"/>
      <c r="I78" s="13"/>
    </row>
    <row r="79" spans="1:9" ht="17">
      <c r="A79" s="13"/>
      <c r="B79" s="13"/>
      <c r="C79" s="13"/>
      <c r="D79" s="13"/>
      <c r="E79" s="13"/>
      <c r="F79" s="13"/>
      <c r="G79" s="13"/>
      <c r="H79" s="13"/>
      <c r="I79" s="13"/>
    </row>
    <row r="80" spans="1:9" ht="17">
      <c r="A80" s="13"/>
      <c r="B80" s="13"/>
      <c r="C80" s="13"/>
      <c r="D80" s="13"/>
      <c r="E80" s="13"/>
      <c r="F80" s="13"/>
      <c r="G80" s="13"/>
      <c r="H80" s="13"/>
      <c r="I80" s="13"/>
    </row>
    <row r="81" spans="1:9" ht="17">
      <c r="A81" s="13"/>
      <c r="B81" s="13"/>
      <c r="C81" s="13"/>
      <c r="D81" s="13"/>
      <c r="E81" s="13"/>
      <c r="F81" s="13"/>
      <c r="G81" s="13"/>
      <c r="H81" s="13"/>
      <c r="I81" s="13"/>
    </row>
    <row r="82" spans="1:9" ht="17">
      <c r="A82" s="13"/>
      <c r="B82" s="13"/>
      <c r="C82" s="13"/>
      <c r="D82" s="13"/>
      <c r="E82" s="13"/>
      <c r="F82" s="13"/>
      <c r="G82" s="13"/>
      <c r="H82" s="13"/>
      <c r="I82" s="13"/>
    </row>
    <row r="83" spans="1:9" ht="17">
      <c r="A83" s="13"/>
      <c r="B83" s="13"/>
      <c r="C83" s="13"/>
      <c r="D83" s="13"/>
      <c r="E83" s="13"/>
      <c r="F83" s="13"/>
      <c r="G83" s="13"/>
      <c r="H83" s="13"/>
      <c r="I83" s="13"/>
    </row>
    <row r="84" spans="1:9" ht="17">
      <c r="A84" s="13"/>
      <c r="B84" s="13"/>
      <c r="C84" s="13"/>
      <c r="D84" s="13"/>
      <c r="E84" s="13"/>
      <c r="F84" s="13"/>
      <c r="G84" s="13"/>
      <c r="H84" s="13"/>
      <c r="I84" s="13"/>
    </row>
    <row r="85" spans="1:9" ht="17">
      <c r="A85" s="13"/>
      <c r="B85" s="13"/>
      <c r="C85" s="13"/>
      <c r="D85" s="13"/>
      <c r="E85" s="13"/>
      <c r="F85" s="13"/>
      <c r="G85" s="13"/>
      <c r="H85" s="13"/>
      <c r="I85" s="13"/>
    </row>
    <row r="86" spans="1:9" ht="17">
      <c r="A86" s="13"/>
      <c r="B86" s="13"/>
      <c r="C86" s="13"/>
      <c r="D86" s="13"/>
      <c r="E86" s="13"/>
      <c r="F86" s="13"/>
      <c r="G86" s="13"/>
      <c r="H86" s="13"/>
      <c r="I86" s="13"/>
    </row>
    <row r="87" spans="1:9" ht="17">
      <c r="A87" s="13"/>
      <c r="B87" s="13"/>
      <c r="C87" s="13"/>
      <c r="D87" s="13"/>
      <c r="E87" s="13"/>
      <c r="F87" s="13"/>
      <c r="G87" s="13"/>
      <c r="H87" s="13"/>
      <c r="I87" s="13"/>
    </row>
    <row r="88" spans="1:9" ht="17">
      <c r="A88" s="13"/>
      <c r="B88" s="13"/>
      <c r="C88" s="13"/>
      <c r="D88" s="13"/>
      <c r="E88" s="13"/>
      <c r="F88" s="13"/>
      <c r="G88" s="13"/>
      <c r="H88" s="13"/>
      <c r="I88" s="13"/>
    </row>
    <row r="89" spans="1:9" ht="17">
      <c r="A89" s="13"/>
      <c r="B89" s="13"/>
      <c r="C89" s="13"/>
      <c r="D89" s="13"/>
      <c r="E89" s="13"/>
      <c r="F89" s="13"/>
      <c r="G89" s="13"/>
      <c r="H89" s="13"/>
      <c r="I89" s="13"/>
    </row>
    <row r="90" spans="1:9" ht="17">
      <c r="A90" s="13"/>
      <c r="B90" s="13"/>
      <c r="C90" s="13"/>
      <c r="D90" s="13"/>
      <c r="E90" s="13"/>
      <c r="F90" s="13"/>
      <c r="G90" s="13"/>
      <c r="H90" s="13"/>
      <c r="I90" s="13"/>
    </row>
    <row r="91" spans="1:9" ht="17">
      <c r="A91" s="13"/>
      <c r="B91" s="13"/>
      <c r="C91" s="13"/>
      <c r="D91" s="13"/>
      <c r="E91" s="13"/>
      <c r="F91" s="13"/>
      <c r="G91" s="13"/>
      <c r="H91" s="13"/>
      <c r="I91" s="13"/>
    </row>
    <row r="92" spans="1:9" ht="17">
      <c r="A92" s="13"/>
      <c r="B92" s="13"/>
      <c r="C92" s="13"/>
      <c r="D92" s="13"/>
      <c r="E92" s="13"/>
      <c r="F92" s="13"/>
      <c r="G92" s="13"/>
      <c r="H92" s="13"/>
      <c r="I92" s="13"/>
    </row>
    <row r="93" spans="1:9" ht="17">
      <c r="A93" s="13"/>
      <c r="B93" s="13"/>
      <c r="C93" s="13"/>
      <c r="D93" s="13"/>
      <c r="E93" s="13"/>
      <c r="F93" s="13"/>
      <c r="G93" s="13"/>
      <c r="H93" s="13"/>
      <c r="I93" s="13"/>
    </row>
    <row r="94" spans="1:9" ht="17">
      <c r="A94" s="13"/>
      <c r="B94" s="13"/>
      <c r="C94" s="13"/>
      <c r="D94" s="13"/>
      <c r="E94" s="13"/>
      <c r="F94" s="13"/>
      <c r="G94" s="13"/>
      <c r="H94" s="13"/>
      <c r="I94" s="13"/>
    </row>
    <row r="95" spans="1:9" ht="17">
      <c r="A95" s="13"/>
      <c r="B95" s="13"/>
      <c r="C95" s="13"/>
      <c r="D95" s="13"/>
      <c r="E95" s="13"/>
      <c r="F95" s="13"/>
      <c r="G95" s="13"/>
      <c r="H95" s="13"/>
      <c r="I95" s="13"/>
    </row>
    <row r="96" spans="1:9" ht="17">
      <c r="A96" s="13"/>
      <c r="B96" s="13"/>
      <c r="C96" s="13"/>
      <c r="D96" s="13"/>
      <c r="E96" s="13"/>
      <c r="F96" s="13"/>
      <c r="G96" s="13"/>
      <c r="H96" s="13"/>
      <c r="I96" s="13"/>
    </row>
    <row r="97" spans="1:9" ht="17">
      <c r="A97" s="13"/>
      <c r="B97" s="13"/>
      <c r="C97" s="13"/>
      <c r="D97" s="13"/>
      <c r="E97" s="13"/>
      <c r="F97" s="13"/>
      <c r="G97" s="13"/>
      <c r="H97" s="13"/>
      <c r="I97" s="13"/>
    </row>
    <row r="98" spans="1:9" ht="17">
      <c r="A98" s="13"/>
      <c r="B98" s="13"/>
      <c r="C98" s="13"/>
      <c r="D98" s="13"/>
      <c r="E98" s="13"/>
      <c r="F98" s="13"/>
      <c r="G98" s="13"/>
      <c r="H98" s="13"/>
      <c r="I98" s="13"/>
    </row>
    <row r="99" spans="1:9" ht="17">
      <c r="A99" s="13"/>
      <c r="B99" s="13"/>
      <c r="C99" s="13"/>
      <c r="D99" s="13"/>
      <c r="E99" s="13"/>
      <c r="F99" s="13"/>
      <c r="G99" s="13"/>
      <c r="H99" s="13"/>
      <c r="I99" s="13"/>
    </row>
    <row r="100" spans="1:9" ht="17">
      <c r="A100" s="13"/>
      <c r="B100" s="13"/>
      <c r="C100" s="13"/>
      <c r="D100" s="13"/>
      <c r="E100" s="13"/>
      <c r="F100" s="13"/>
      <c r="G100" s="13"/>
      <c r="H100" s="13"/>
      <c r="I100" s="13"/>
    </row>
    <row r="101" spans="1:9" ht="17">
      <c r="A101" s="13"/>
      <c r="B101" s="13"/>
      <c r="C101" s="13"/>
      <c r="D101" s="13"/>
      <c r="E101" s="13"/>
      <c r="F101" s="13"/>
      <c r="G101" s="13"/>
      <c r="H101" s="13"/>
      <c r="I101" s="13"/>
    </row>
    <row r="102" spans="1:9" ht="17">
      <c r="A102" s="13"/>
      <c r="B102" s="13"/>
      <c r="C102" s="13"/>
      <c r="D102" s="13"/>
      <c r="E102" s="13"/>
      <c r="F102" s="13"/>
      <c r="G102" s="13"/>
      <c r="H102" s="13"/>
      <c r="I102" s="13"/>
    </row>
    <row r="103" spans="1:9" ht="17">
      <c r="A103" s="13"/>
      <c r="B103" s="13"/>
      <c r="C103" s="13"/>
      <c r="D103" s="13"/>
      <c r="E103" s="13"/>
      <c r="F103" s="13"/>
      <c r="G103" s="13"/>
      <c r="H103" s="13"/>
      <c r="I103" s="13"/>
    </row>
    <row r="104" spans="1:9" ht="17">
      <c r="A104" s="13"/>
      <c r="B104" s="13"/>
      <c r="C104" s="13"/>
      <c r="D104" s="13"/>
      <c r="E104" s="13"/>
      <c r="F104" s="13"/>
      <c r="G104" s="13"/>
      <c r="H104" s="13"/>
      <c r="I104" s="13"/>
    </row>
    <row r="105" spans="1:9" ht="17">
      <c r="A105" s="13"/>
      <c r="B105" s="13"/>
      <c r="C105" s="13"/>
      <c r="D105" s="13"/>
      <c r="E105" s="13"/>
      <c r="F105" s="13"/>
      <c r="G105" s="13"/>
      <c r="H105" s="13"/>
      <c r="I105" s="13"/>
    </row>
  </sheetData>
  <mergeCells count="1">
    <mergeCell ref="A60:E60"/>
  </mergeCells>
  <pageMargins left="0.25" right="0.25" top="0.75" bottom="0.75" header="0.3" footer="0.3"/>
  <pageSetup scale="4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01B68-F78F-4F0B-B297-7DBEE2F24F41}">
  <sheetPr>
    <tabColor rgb="FF92D050"/>
    <pageSetUpPr fitToPage="1"/>
  </sheetPr>
  <dimension ref="A1:J84"/>
  <sheetViews>
    <sheetView view="pageBreakPreview" zoomScale="60" zoomScaleNormal="80" workbookViewId="0">
      <selection activeCell="E11" sqref="E11"/>
    </sheetView>
  </sheetViews>
  <sheetFormatPr defaultRowHeight="14.5"/>
  <cols>
    <col min="1" max="1" width="74.54296875" customWidth="1"/>
    <col min="2" max="2" width="21.7265625" customWidth="1"/>
    <col min="3" max="3" width="24.54296875" customWidth="1"/>
    <col min="4" max="4" width="29.453125" customWidth="1"/>
    <col min="5" max="5" width="30.54296875" customWidth="1"/>
    <col min="6" max="6" width="32.1796875" customWidth="1"/>
    <col min="7" max="7" width="27" customWidth="1"/>
    <col min="8" max="8" width="13.7265625" customWidth="1"/>
    <col min="9" max="9" width="13.81640625" customWidth="1"/>
    <col min="10" max="11" width="14.1796875" bestFit="1" customWidth="1"/>
  </cols>
  <sheetData>
    <row r="1" spans="1:10" ht="25.5">
      <c r="A1" s="25" t="s">
        <v>1</v>
      </c>
      <c r="B1" s="25"/>
      <c r="C1" s="25"/>
      <c r="D1" s="13"/>
      <c r="E1" s="13"/>
      <c r="F1" s="13"/>
      <c r="G1" s="13"/>
      <c r="H1" s="13"/>
      <c r="I1" s="13"/>
      <c r="J1" s="13"/>
    </row>
    <row r="2" spans="1:10" ht="17.5">
      <c r="A2" s="26" t="s">
        <v>9</v>
      </c>
      <c r="B2" s="26"/>
      <c r="C2" s="26"/>
      <c r="D2" s="13"/>
      <c r="E2" s="13"/>
      <c r="F2" s="13"/>
      <c r="G2" s="13"/>
      <c r="H2" s="13"/>
      <c r="I2" s="13"/>
      <c r="J2" s="13"/>
    </row>
    <row r="3" spans="1:10" ht="17">
      <c r="A3" s="27" t="s">
        <v>483</v>
      </c>
      <c r="B3" s="27"/>
      <c r="C3" s="27"/>
      <c r="D3" s="13"/>
      <c r="E3" s="13"/>
      <c r="F3" s="13"/>
      <c r="G3" s="13"/>
      <c r="H3" s="13"/>
      <c r="I3" s="13"/>
      <c r="J3" s="13"/>
    </row>
    <row r="4" spans="1:10" ht="17">
      <c r="A4" s="27"/>
      <c r="B4" s="27"/>
      <c r="C4" s="27"/>
      <c r="D4" s="13"/>
      <c r="E4" s="13"/>
      <c r="F4" s="13"/>
      <c r="G4" s="13"/>
      <c r="H4" s="13"/>
      <c r="I4" s="13"/>
      <c r="J4" s="13"/>
    </row>
    <row r="5" spans="1:10" ht="17.5" thickBot="1">
      <c r="A5" s="13"/>
      <c r="B5" s="13"/>
      <c r="C5" s="13"/>
      <c r="D5" s="13"/>
      <c r="E5" s="13"/>
      <c r="F5" s="13"/>
      <c r="G5" s="13"/>
      <c r="H5" s="28" t="s">
        <v>0</v>
      </c>
      <c r="I5" s="28"/>
      <c r="J5" s="13"/>
    </row>
    <row r="6" spans="1:10" ht="21.5" thickBot="1">
      <c r="A6" s="29" t="str">
        <f>+'S&amp;D'!A12</f>
        <v>Electric Utilities</v>
      </c>
      <c r="B6" s="13"/>
      <c r="C6" s="13"/>
      <c r="D6" s="30"/>
      <c r="E6" s="30"/>
      <c r="F6" s="30"/>
      <c r="G6" s="13"/>
      <c r="H6" s="13"/>
      <c r="I6" s="13"/>
      <c r="J6" s="13"/>
    </row>
    <row r="7" spans="1:10" ht="25.5">
      <c r="B7" s="32"/>
      <c r="C7" s="32"/>
      <c r="D7" s="13"/>
      <c r="E7" s="33" t="s">
        <v>246</v>
      </c>
      <c r="F7" s="13"/>
      <c r="G7" s="13"/>
      <c r="H7" s="13"/>
      <c r="I7" s="13"/>
      <c r="J7" s="13"/>
    </row>
    <row r="8" spans="1:10" ht="21.5" thickBot="1">
      <c r="A8" s="32"/>
      <c r="B8" s="32"/>
      <c r="C8" s="32"/>
      <c r="D8" s="30"/>
      <c r="E8" s="34" t="s">
        <v>484</v>
      </c>
      <c r="F8" s="30"/>
      <c r="G8" s="13"/>
      <c r="H8" s="13"/>
      <c r="I8" s="13"/>
      <c r="J8" s="13"/>
    </row>
    <row r="9" spans="1:10" ht="21">
      <c r="A9" s="32"/>
      <c r="B9" s="32"/>
      <c r="C9" s="32"/>
      <c r="D9" s="13"/>
      <c r="E9" s="36"/>
      <c r="F9" s="13"/>
      <c r="G9" s="13"/>
      <c r="H9" s="13"/>
      <c r="I9" s="13"/>
      <c r="J9" s="13"/>
    </row>
    <row r="10" spans="1:10" ht="21">
      <c r="A10" s="32"/>
      <c r="B10" s="32"/>
      <c r="H10" s="13"/>
      <c r="I10" s="13"/>
      <c r="J10" s="13"/>
    </row>
    <row r="11" spans="1:10" ht="21">
      <c r="A11" s="32"/>
      <c r="B11" s="32"/>
      <c r="H11" s="13"/>
      <c r="I11" s="13"/>
      <c r="J11" s="13"/>
    </row>
    <row r="12" spans="1:10" ht="30" customHeight="1" thickBot="1">
      <c r="A12" s="32"/>
      <c r="B12" s="32"/>
      <c r="C12" t="s">
        <v>0</v>
      </c>
      <c r="H12" s="13"/>
      <c r="I12" s="13"/>
      <c r="J12" s="13"/>
    </row>
    <row r="13" spans="1:10" ht="26.25" customHeight="1" thickBot="1">
      <c r="A13" s="164" t="s">
        <v>262</v>
      </c>
      <c r="B13" s="13" t="s">
        <v>0</v>
      </c>
      <c r="C13" s="13"/>
      <c r="D13" s="13"/>
      <c r="E13" s="13"/>
      <c r="F13" s="13"/>
      <c r="G13" s="13"/>
      <c r="H13" s="13"/>
      <c r="I13" s="13"/>
      <c r="J13" s="13"/>
    </row>
    <row r="14" spans="1:10" ht="42" customHeight="1" thickBot="1">
      <c r="A14" s="163" t="s">
        <v>260</v>
      </c>
      <c r="B14" s="162" t="s">
        <v>251</v>
      </c>
      <c r="C14" s="161" t="s">
        <v>263</v>
      </c>
      <c r="D14" s="162" t="s">
        <v>253</v>
      </c>
      <c r="E14" s="162" t="s">
        <v>433</v>
      </c>
      <c r="F14" s="160" t="s">
        <v>252</v>
      </c>
      <c r="G14" s="13"/>
      <c r="H14" s="13"/>
      <c r="I14" s="13"/>
      <c r="J14" s="13"/>
    </row>
    <row r="15" spans="1:10" ht="17">
      <c r="A15" s="157"/>
      <c r="B15" s="118"/>
      <c r="C15" s="118"/>
      <c r="D15" s="118"/>
      <c r="E15" s="118"/>
      <c r="F15" s="158"/>
      <c r="G15" s="13"/>
      <c r="H15" s="13"/>
      <c r="I15" s="13"/>
      <c r="J15" s="13"/>
    </row>
    <row r="16" spans="1:10" ht="17.5">
      <c r="A16" s="204" t="s">
        <v>435</v>
      </c>
      <c r="B16" s="218">
        <v>2.9100000000000001E-2</v>
      </c>
      <c r="C16" s="215">
        <f>+'Beta for CAPM'!I39</f>
        <v>0.95</v>
      </c>
      <c r="D16" s="205">
        <f>+B16*C16</f>
        <v>2.7644999999999999E-2</v>
      </c>
      <c r="E16" s="205">
        <f>+'Growth &amp; Inflation Rates'!F93</f>
        <v>4.1099999999999998E-2</v>
      </c>
      <c r="F16" s="206">
        <f>+D16+E16</f>
        <v>6.8745000000000001E-2</v>
      </c>
      <c r="G16" s="13"/>
      <c r="H16" s="13"/>
      <c r="I16" s="13"/>
      <c r="J16" s="13"/>
    </row>
    <row r="17" spans="1:10" ht="17.5">
      <c r="A17" s="204" t="s">
        <v>436</v>
      </c>
      <c r="B17" s="218">
        <v>3.0800000000000001E-2</v>
      </c>
      <c r="C17" s="215">
        <f>+C16</f>
        <v>0.95</v>
      </c>
      <c r="D17" s="205">
        <f>+B17*C17</f>
        <v>2.9260000000000001E-2</v>
      </c>
      <c r="E17" s="205">
        <f>+E16</f>
        <v>4.1099999999999998E-2</v>
      </c>
      <c r="F17" s="206">
        <f>+D17+E17</f>
        <v>7.0360000000000006E-2</v>
      </c>
      <c r="G17" s="13"/>
      <c r="H17" s="13"/>
      <c r="I17" s="13"/>
      <c r="J17" s="13"/>
    </row>
    <row r="18" spans="1:10" ht="17.5">
      <c r="A18" s="207"/>
      <c r="B18" s="113"/>
      <c r="C18" s="113"/>
      <c r="D18" s="113"/>
      <c r="E18" s="113"/>
      <c r="F18" s="208"/>
      <c r="G18" s="13"/>
      <c r="H18" s="13"/>
      <c r="I18" s="13"/>
      <c r="J18" s="13"/>
    </row>
    <row r="19" spans="1:10" ht="17.5">
      <c r="A19" s="204" t="s">
        <v>461</v>
      </c>
      <c r="B19" s="218">
        <v>4.5999999999999999E-2</v>
      </c>
      <c r="C19" s="215">
        <f>+C16</f>
        <v>0.95</v>
      </c>
      <c r="D19" s="205">
        <f>+B19*C19</f>
        <v>4.3699999999999996E-2</v>
      </c>
      <c r="E19" s="205">
        <f>+E16</f>
        <v>4.1099999999999998E-2</v>
      </c>
      <c r="F19" s="206">
        <f>+D19+E19</f>
        <v>8.4799999999999986E-2</v>
      </c>
      <c r="G19" s="13"/>
      <c r="H19" s="13"/>
      <c r="I19" s="13"/>
      <c r="J19" s="13"/>
    </row>
    <row r="20" spans="1:10" ht="17.5">
      <c r="A20" s="204" t="s">
        <v>471</v>
      </c>
      <c r="B20" s="218">
        <v>6.0699999999999997E-2</v>
      </c>
      <c r="C20" s="215">
        <f>+C16</f>
        <v>0.95</v>
      </c>
      <c r="D20" s="205">
        <f>+B20*C20</f>
        <v>5.7664999999999994E-2</v>
      </c>
      <c r="E20" s="205">
        <f>+E17</f>
        <v>4.1099999999999998E-2</v>
      </c>
      <c r="F20" s="206">
        <f>+D20+E20</f>
        <v>9.8764999999999992E-2</v>
      </c>
      <c r="G20" s="13"/>
      <c r="H20" s="13"/>
      <c r="I20" s="13"/>
      <c r="J20" s="13"/>
    </row>
    <row r="21" spans="1:10" ht="17.5">
      <c r="A21" s="204" t="s">
        <v>459</v>
      </c>
      <c r="B21" s="218">
        <v>4.4299999999999999E-2</v>
      </c>
      <c r="C21" s="215">
        <f>+C16</f>
        <v>0.95</v>
      </c>
      <c r="D21" s="205">
        <f t="shared" ref="D21:D22" si="0">+B21*C21</f>
        <v>4.2084999999999997E-2</v>
      </c>
      <c r="E21" s="205">
        <f>+E16</f>
        <v>4.1099999999999998E-2</v>
      </c>
      <c r="F21" s="206">
        <f t="shared" ref="F21:F22" si="1">+D21+E21</f>
        <v>8.3184999999999995E-2</v>
      </c>
      <c r="G21" s="13"/>
      <c r="H21" s="13"/>
      <c r="I21" s="13"/>
      <c r="J21" s="13"/>
    </row>
    <row r="22" spans="1:10" ht="17.5">
      <c r="A22" s="204" t="s">
        <v>460</v>
      </c>
      <c r="B22" s="218">
        <v>4.2900000000000001E-2</v>
      </c>
      <c r="C22" s="215">
        <f>+C16</f>
        <v>0.95</v>
      </c>
      <c r="D22" s="205">
        <f t="shared" si="0"/>
        <v>4.0755E-2</v>
      </c>
      <c r="E22" s="205">
        <f>+E16</f>
        <v>4.1099999999999998E-2</v>
      </c>
      <c r="F22" s="206">
        <f t="shared" si="1"/>
        <v>8.1854999999999997E-2</v>
      </c>
      <c r="G22" s="13"/>
      <c r="H22" s="13"/>
      <c r="I22" s="13"/>
      <c r="J22" s="13"/>
    </row>
    <row r="23" spans="1:10" ht="17.5">
      <c r="A23" s="204" t="s">
        <v>0</v>
      </c>
      <c r="B23" s="218" t="s">
        <v>0</v>
      </c>
      <c r="C23" s="216" t="s">
        <v>0</v>
      </c>
      <c r="D23" s="205" t="s">
        <v>0</v>
      </c>
      <c r="E23" s="205" t="s">
        <v>0</v>
      </c>
      <c r="F23" s="206" t="s">
        <v>0</v>
      </c>
      <c r="G23" s="13"/>
      <c r="H23" s="13"/>
      <c r="I23" s="13"/>
      <c r="J23" s="13"/>
    </row>
    <row r="24" spans="1:10" ht="17.5">
      <c r="A24" s="204" t="s">
        <v>256</v>
      </c>
      <c r="B24" s="218">
        <v>4.9399999999999999E-2</v>
      </c>
      <c r="C24" s="215">
        <f>+C16</f>
        <v>0.95</v>
      </c>
      <c r="D24" s="205">
        <f>+B24*C24</f>
        <v>4.6929999999999999E-2</v>
      </c>
      <c r="E24" s="205">
        <f>+E16</f>
        <v>4.1099999999999998E-2</v>
      </c>
      <c r="F24" s="206">
        <f>+D24+E24</f>
        <v>8.8029999999999997E-2</v>
      </c>
      <c r="G24" s="13"/>
      <c r="H24" s="13"/>
      <c r="I24" s="13"/>
      <c r="J24" s="13"/>
    </row>
    <row r="25" spans="1:10" ht="17.5">
      <c r="A25" s="204" t="s">
        <v>0</v>
      </c>
      <c r="B25" s="218" t="s">
        <v>0</v>
      </c>
      <c r="C25" s="216" t="s">
        <v>0</v>
      </c>
      <c r="D25" s="205" t="s">
        <v>0</v>
      </c>
      <c r="E25" s="205" t="s">
        <v>0</v>
      </c>
      <c r="F25" s="206" t="s">
        <v>0</v>
      </c>
      <c r="G25" s="13"/>
      <c r="H25" s="13"/>
      <c r="I25" s="13"/>
      <c r="J25" s="13"/>
    </row>
    <row r="26" spans="1:10" ht="17.5">
      <c r="A26" s="204" t="s">
        <v>472</v>
      </c>
      <c r="B26" s="218">
        <v>5.7000000000000002E-2</v>
      </c>
      <c r="C26" s="215">
        <f>+C16</f>
        <v>0.95</v>
      </c>
      <c r="D26" s="205">
        <f>+B26*C26</f>
        <v>5.4149999999999997E-2</v>
      </c>
      <c r="E26" s="205">
        <f>+E16</f>
        <v>4.1099999999999998E-2</v>
      </c>
      <c r="F26" s="206">
        <f>+D26+E26</f>
        <v>9.5250000000000001E-2</v>
      </c>
      <c r="G26" s="13"/>
      <c r="H26" s="13"/>
      <c r="I26" s="13"/>
      <c r="J26" s="13"/>
    </row>
    <row r="27" spans="1:10" ht="17.5">
      <c r="A27" s="204" t="s">
        <v>0</v>
      </c>
      <c r="B27" s="218" t="s">
        <v>0</v>
      </c>
      <c r="C27" s="216" t="s">
        <v>0</v>
      </c>
      <c r="D27" s="205" t="s">
        <v>0</v>
      </c>
      <c r="E27" s="205" t="s">
        <v>0</v>
      </c>
      <c r="F27" s="206" t="s">
        <v>0</v>
      </c>
      <c r="G27" s="13"/>
      <c r="H27" s="13"/>
      <c r="I27" s="13"/>
      <c r="J27" s="13"/>
    </row>
    <row r="28" spans="1:10" ht="17.5">
      <c r="A28" s="204" t="s">
        <v>257</v>
      </c>
      <c r="B28" s="218">
        <v>6.4500000000000002E-2</v>
      </c>
      <c r="C28" s="215">
        <f>+C16</f>
        <v>0.95</v>
      </c>
      <c r="D28" s="205">
        <f>+B28*C28</f>
        <v>6.1274999999999996E-2</v>
      </c>
      <c r="E28" s="205">
        <f>+E16</f>
        <v>4.1099999999999998E-2</v>
      </c>
      <c r="F28" s="206">
        <f>+D28+E28</f>
        <v>0.10237499999999999</v>
      </c>
      <c r="G28" s="13"/>
      <c r="H28" s="13"/>
      <c r="I28" s="13"/>
      <c r="J28" s="13"/>
    </row>
    <row r="29" spans="1:10" ht="17.5">
      <c r="A29" s="204" t="s">
        <v>258</v>
      </c>
      <c r="B29" s="218">
        <v>5.1900000000000002E-2</v>
      </c>
      <c r="C29" s="215">
        <f>+C16</f>
        <v>0.95</v>
      </c>
      <c r="D29" s="205">
        <f>+B29*C29</f>
        <v>4.9305000000000002E-2</v>
      </c>
      <c r="E29" s="205">
        <f>+E16</f>
        <v>4.1099999999999998E-2</v>
      </c>
      <c r="F29" s="206">
        <f>+D29+E29</f>
        <v>9.0404999999999999E-2</v>
      </c>
      <c r="G29" s="13"/>
      <c r="H29" s="13"/>
      <c r="I29" s="13"/>
      <c r="J29" s="13"/>
    </row>
    <row r="30" spans="1:10" ht="17.5">
      <c r="A30" s="204"/>
      <c r="B30" s="218"/>
      <c r="C30" s="215"/>
      <c r="D30" s="205"/>
      <c r="E30" s="205"/>
      <c r="F30" s="206"/>
      <c r="G30" s="13"/>
      <c r="H30" s="13"/>
      <c r="I30" s="13"/>
      <c r="J30" s="13"/>
    </row>
    <row r="31" spans="1:10" ht="17.5">
      <c r="A31" s="204" t="s">
        <v>462</v>
      </c>
      <c r="B31" s="218">
        <v>7.17E-2</v>
      </c>
      <c r="C31" s="215">
        <f>+C16</f>
        <v>0.95</v>
      </c>
      <c r="D31" s="205">
        <f>+B31*C31</f>
        <v>6.8114999999999995E-2</v>
      </c>
      <c r="E31" s="205">
        <f>+E16</f>
        <v>4.1099999999999998E-2</v>
      </c>
      <c r="F31" s="206">
        <f>+D31+E31</f>
        <v>0.10921499999999999</v>
      </c>
      <c r="G31" s="13"/>
      <c r="H31" s="13"/>
      <c r="I31" s="13"/>
      <c r="J31" s="13"/>
    </row>
    <row r="32" spans="1:10" ht="17.5">
      <c r="A32" s="204" t="s">
        <v>463</v>
      </c>
      <c r="B32" s="218">
        <v>6.2199999999999998E-2</v>
      </c>
      <c r="C32" s="215">
        <f>+C17</f>
        <v>0.95</v>
      </c>
      <c r="D32" s="205">
        <f>+B32*C32</f>
        <v>5.9089999999999997E-2</v>
      </c>
      <c r="E32" s="205">
        <f>+E17</f>
        <v>4.1099999999999998E-2</v>
      </c>
      <c r="F32" s="206">
        <f>+D32+E32</f>
        <v>0.10019</v>
      </c>
      <c r="G32" s="13"/>
      <c r="H32" s="13"/>
      <c r="I32" s="13"/>
      <c r="J32" s="13"/>
    </row>
    <row r="33" spans="1:10" ht="17.5">
      <c r="A33" s="204" t="s">
        <v>464</v>
      </c>
      <c r="B33" s="218">
        <v>5.5E-2</v>
      </c>
      <c r="C33" s="215">
        <f>+C16</f>
        <v>0.95</v>
      </c>
      <c r="D33" s="205">
        <f>+B33*C33</f>
        <v>5.2249999999999998E-2</v>
      </c>
      <c r="E33" s="205">
        <f>+E16</f>
        <v>4.1099999999999998E-2</v>
      </c>
      <c r="F33" s="206">
        <f>+D33+E33</f>
        <v>9.3349999999999989E-2</v>
      </c>
      <c r="G33" s="13"/>
      <c r="H33" s="13"/>
      <c r="I33" s="13"/>
      <c r="J33" s="13"/>
    </row>
    <row r="34" spans="1:10" ht="17.5">
      <c r="A34" s="204"/>
      <c r="B34" s="218"/>
      <c r="C34" s="215"/>
      <c r="D34" s="205"/>
      <c r="E34" s="205"/>
      <c r="F34" s="206"/>
      <c r="G34" s="13"/>
      <c r="H34" s="13"/>
      <c r="I34" s="13"/>
      <c r="J34" s="13"/>
    </row>
    <row r="35" spans="1:10" ht="17.5">
      <c r="A35" s="415" t="s">
        <v>446</v>
      </c>
      <c r="B35" s="408">
        <v>0</v>
      </c>
      <c r="C35" s="215">
        <v>0</v>
      </c>
      <c r="D35" s="205">
        <f>+B35*C35</f>
        <v>0</v>
      </c>
      <c r="E35" s="205">
        <v>0</v>
      </c>
      <c r="F35" s="206">
        <f>+D35+E35</f>
        <v>0</v>
      </c>
      <c r="G35" s="13"/>
      <c r="H35" s="13"/>
      <c r="I35" s="13"/>
      <c r="J35" s="13"/>
    </row>
    <row r="36" spans="1:10" ht="17.5" thickBot="1">
      <c r="A36" s="368"/>
      <c r="B36" s="30"/>
      <c r="C36" s="30"/>
      <c r="D36" s="30"/>
      <c r="E36" s="30"/>
      <c r="F36" s="369"/>
      <c r="G36" s="13"/>
      <c r="H36" s="13"/>
      <c r="I36" s="13"/>
      <c r="J36" s="13"/>
    </row>
    <row r="37" spans="1:10" ht="17">
      <c r="A37" s="13"/>
      <c r="B37" s="13"/>
      <c r="C37" s="13"/>
      <c r="D37" s="13"/>
      <c r="E37" s="13"/>
      <c r="F37" s="13"/>
      <c r="G37" s="13"/>
      <c r="H37" s="13"/>
      <c r="I37" s="13"/>
      <c r="J37" s="13"/>
    </row>
    <row r="38" spans="1:10" ht="27" customHeight="1" thickBot="1">
      <c r="A38" s="13"/>
      <c r="B38" s="13"/>
      <c r="C38" s="13"/>
      <c r="D38" s="13"/>
      <c r="E38" s="13"/>
      <c r="F38" s="13"/>
      <c r="G38" s="13" t="s">
        <v>0</v>
      </c>
      <c r="H38" s="13"/>
      <c r="I38" s="13"/>
      <c r="J38" s="13"/>
    </row>
    <row r="39" spans="1:10" ht="18" thickBot="1">
      <c r="A39" s="164" t="s">
        <v>261</v>
      </c>
      <c r="B39" s="13"/>
      <c r="C39" s="13"/>
      <c r="D39" s="13"/>
      <c r="E39" s="13"/>
      <c r="F39" s="13"/>
      <c r="G39" s="13"/>
      <c r="H39" s="13"/>
      <c r="I39" s="13"/>
      <c r="J39" s="13"/>
    </row>
    <row r="40" spans="1:10" ht="42.5" thickBot="1">
      <c r="A40" s="163" t="s">
        <v>259</v>
      </c>
      <c r="B40" s="162" t="s">
        <v>251</v>
      </c>
      <c r="C40" s="161" t="s">
        <v>263</v>
      </c>
      <c r="D40" s="162" t="s">
        <v>254</v>
      </c>
      <c r="E40" s="162" t="s">
        <v>255</v>
      </c>
      <c r="F40" s="162" t="s">
        <v>433</v>
      </c>
      <c r="G40" s="160" t="s">
        <v>252</v>
      </c>
      <c r="H40" s="13"/>
      <c r="I40" s="13"/>
      <c r="J40" s="13"/>
    </row>
    <row r="41" spans="1:10" ht="17">
      <c r="A41" s="157"/>
      <c r="B41" s="118"/>
      <c r="C41" s="118"/>
      <c r="D41" s="118"/>
      <c r="E41" s="118"/>
      <c r="F41" s="118"/>
      <c r="G41" s="158"/>
      <c r="H41" s="13"/>
      <c r="I41" s="13"/>
      <c r="J41" s="13"/>
    </row>
    <row r="42" spans="1:10" ht="17.5">
      <c r="A42" s="204" t="s">
        <v>435</v>
      </c>
      <c r="B42" s="218">
        <f>+B16</f>
        <v>2.9100000000000001E-2</v>
      </c>
      <c r="C42" s="214">
        <f>+C16</f>
        <v>0.95</v>
      </c>
      <c r="D42" s="205">
        <f>+B42*C42*0.75</f>
        <v>2.0733749999999999E-2</v>
      </c>
      <c r="E42" s="218">
        <f>+B42*0.25</f>
        <v>7.2750000000000002E-3</v>
      </c>
      <c r="F42" s="205">
        <f>+E16</f>
        <v>4.1099999999999998E-2</v>
      </c>
      <c r="G42" s="206">
        <f>+D42+E42+F42</f>
        <v>6.9108749999999997E-2</v>
      </c>
      <c r="H42" s="13"/>
      <c r="I42" s="13"/>
      <c r="J42" s="13"/>
    </row>
    <row r="43" spans="1:10" ht="17.5">
      <c r="A43" s="204" t="s">
        <v>436</v>
      </c>
      <c r="B43" s="218">
        <f>+B17</f>
        <v>3.0800000000000001E-2</v>
      </c>
      <c r="C43" s="214">
        <f>+C17</f>
        <v>0.95</v>
      </c>
      <c r="D43" s="205">
        <f>+B43*C43*0.75</f>
        <v>2.1944999999999999E-2</v>
      </c>
      <c r="E43" s="218">
        <f>+B43*0.25</f>
        <v>7.7000000000000002E-3</v>
      </c>
      <c r="F43" s="205">
        <f>+E17</f>
        <v>4.1099999999999998E-2</v>
      </c>
      <c r="G43" s="206">
        <f>+D43+E43+F43</f>
        <v>7.0745000000000002E-2</v>
      </c>
      <c r="H43" s="13"/>
      <c r="I43" s="13"/>
      <c r="J43" s="13"/>
    </row>
    <row r="44" spans="1:10" ht="17.5">
      <c r="A44" s="207"/>
      <c r="B44" s="113"/>
      <c r="C44" s="113"/>
      <c r="D44" s="113"/>
      <c r="E44" s="113"/>
      <c r="F44" s="113"/>
      <c r="G44" s="208"/>
      <c r="H44" s="13"/>
      <c r="I44" s="13"/>
      <c r="J44" s="13"/>
    </row>
    <row r="45" spans="1:10" ht="17.5">
      <c r="A45" s="204" t="str">
        <f t="shared" ref="A45:C46" si="2">+A19</f>
        <v>Damodaran Implied ERP Ex Ante   Trailing 12 mo Cash Yield (3)</v>
      </c>
      <c r="B45" s="218">
        <f t="shared" si="2"/>
        <v>4.5999999999999999E-2</v>
      </c>
      <c r="C45" s="214">
        <f t="shared" si="2"/>
        <v>0.95</v>
      </c>
      <c r="D45" s="205">
        <f>+B45*C45*0.75</f>
        <v>3.2774999999999999E-2</v>
      </c>
      <c r="E45" s="218">
        <f>+B45*0.25</f>
        <v>1.15E-2</v>
      </c>
      <c r="F45" s="205">
        <f>+E19</f>
        <v>4.1099999999999998E-2</v>
      </c>
      <c r="G45" s="206">
        <f>+D45+E45+F45</f>
        <v>8.5374999999999993E-2</v>
      </c>
      <c r="H45" s="13"/>
      <c r="I45" s="13"/>
      <c r="J45" s="13"/>
    </row>
    <row r="46" spans="1:10" ht="17.5">
      <c r="A46" s="204" t="str">
        <f t="shared" si="2"/>
        <v>Damodaran Implied ERP Ex Ante   Avg CF Yield Last 10 Yrs (3)</v>
      </c>
      <c r="B46" s="218">
        <f t="shared" si="2"/>
        <v>6.0699999999999997E-2</v>
      </c>
      <c r="C46" s="214">
        <f t="shared" si="2"/>
        <v>0.95</v>
      </c>
      <c r="D46" s="205">
        <f>+B46*C46*0.75</f>
        <v>4.3248749999999996E-2</v>
      </c>
      <c r="E46" s="218">
        <f>+B46*0.25</f>
        <v>1.5174999999999999E-2</v>
      </c>
      <c r="F46" s="205">
        <f>+E20</f>
        <v>4.1099999999999998E-2</v>
      </c>
      <c r="G46" s="206">
        <f>+D46+E46+F46</f>
        <v>9.9523749999999994E-2</v>
      </c>
      <c r="H46" s="13"/>
      <c r="I46" s="13"/>
      <c r="J46" s="13"/>
    </row>
    <row r="47" spans="1:10" ht="17.5">
      <c r="A47" s="204" t="str">
        <f t="shared" ref="A47:C47" si="3">+A21</f>
        <v>Damodaran Implied ERP Ex Ante   Net Cash Yield (3)</v>
      </c>
      <c r="B47" s="218">
        <f t="shared" si="3"/>
        <v>4.4299999999999999E-2</v>
      </c>
      <c r="C47" s="214">
        <f t="shared" si="3"/>
        <v>0.95</v>
      </c>
      <c r="D47" s="205">
        <f t="shared" ref="D47:D48" si="4">+B47*C47*0.75</f>
        <v>3.1563750000000002E-2</v>
      </c>
      <c r="E47" s="218">
        <f t="shared" ref="E47:E48" si="5">+B47*0.25</f>
        <v>1.1075E-2</v>
      </c>
      <c r="F47" s="205">
        <f>+E21</f>
        <v>4.1099999999999998E-2</v>
      </c>
      <c r="G47" s="206">
        <f t="shared" ref="G47:G48" si="6">+D47+E47+F47</f>
        <v>8.3738750000000001E-2</v>
      </c>
      <c r="H47" s="13"/>
      <c r="I47" s="13"/>
      <c r="J47" s="13"/>
    </row>
    <row r="48" spans="1:10" ht="17.5">
      <c r="A48" s="204" t="str">
        <f>+A22</f>
        <v>Damodaran Implied ERP Ex Ante   Norm. Earnings &amp; Payout (3)</v>
      </c>
      <c r="B48" s="218">
        <f t="shared" ref="B48:C48" si="7">+B22</f>
        <v>4.2900000000000001E-2</v>
      </c>
      <c r="C48" s="214">
        <f t="shared" si="7"/>
        <v>0.95</v>
      </c>
      <c r="D48" s="205">
        <f t="shared" si="4"/>
        <v>3.056625E-2</v>
      </c>
      <c r="E48" s="218">
        <f t="shared" si="5"/>
        <v>1.0725E-2</v>
      </c>
      <c r="F48" s="205">
        <f>+E22</f>
        <v>4.1099999999999998E-2</v>
      </c>
      <c r="G48" s="206">
        <f t="shared" si="6"/>
        <v>8.2391249999999999E-2</v>
      </c>
      <c r="H48" s="13"/>
      <c r="I48" s="13"/>
      <c r="J48" s="13"/>
    </row>
    <row r="49" spans="1:10" ht="17.5">
      <c r="A49" s="204" t="s">
        <v>0</v>
      </c>
      <c r="B49" s="218" t="s">
        <v>0</v>
      </c>
      <c r="C49" s="205" t="s">
        <v>0</v>
      </c>
      <c r="D49" s="205" t="s">
        <v>0</v>
      </c>
      <c r="E49" s="218" t="s">
        <v>0</v>
      </c>
      <c r="F49" s="205" t="s">
        <v>0</v>
      </c>
      <c r="G49" s="206" t="s">
        <v>0</v>
      </c>
      <c r="H49" s="13"/>
      <c r="I49" s="13"/>
      <c r="J49" s="13"/>
    </row>
    <row r="50" spans="1:10" ht="17.5">
      <c r="A50" s="204" t="s">
        <v>256</v>
      </c>
      <c r="B50" s="218">
        <f>+B24</f>
        <v>4.9399999999999999E-2</v>
      </c>
      <c r="C50" s="214">
        <f>+C24</f>
        <v>0.95</v>
      </c>
      <c r="D50" s="205">
        <f>+B50*C50*0.75</f>
        <v>3.51975E-2</v>
      </c>
      <c r="E50" s="218">
        <f>+B50*0.25</f>
        <v>1.235E-2</v>
      </c>
      <c r="F50" s="205">
        <f>+E24</f>
        <v>4.1099999999999998E-2</v>
      </c>
      <c r="G50" s="206">
        <f>+D50+E50+F50</f>
        <v>8.864749999999999E-2</v>
      </c>
    </row>
    <row r="51" spans="1:10" ht="17.5">
      <c r="A51" s="204" t="s">
        <v>0</v>
      </c>
      <c r="B51" s="218" t="s">
        <v>0</v>
      </c>
      <c r="C51" s="205" t="s">
        <v>0</v>
      </c>
      <c r="D51" s="205" t="s">
        <v>0</v>
      </c>
      <c r="E51" s="218" t="s">
        <v>0</v>
      </c>
      <c r="F51" s="205" t="s">
        <v>0</v>
      </c>
      <c r="G51" s="206" t="s">
        <v>0</v>
      </c>
    </row>
    <row r="52" spans="1:10" ht="17.5">
      <c r="A52" s="204" t="s">
        <v>472</v>
      </c>
      <c r="B52" s="218">
        <f>+B26</f>
        <v>5.7000000000000002E-2</v>
      </c>
      <c r="C52" s="214">
        <f>+C26</f>
        <v>0.95</v>
      </c>
      <c r="D52" s="205">
        <f>+B52*C52*0.75</f>
        <v>4.0612499999999996E-2</v>
      </c>
      <c r="E52" s="218">
        <f>+B52*0.25</f>
        <v>1.4250000000000001E-2</v>
      </c>
      <c r="F52" s="205">
        <f>+E26</f>
        <v>4.1099999999999998E-2</v>
      </c>
      <c r="G52" s="206">
        <f>+D52+E52+F52</f>
        <v>9.5962499999999992E-2</v>
      </c>
    </row>
    <row r="53" spans="1:10" ht="17.5">
      <c r="A53" s="204" t="s">
        <v>0</v>
      </c>
      <c r="B53" s="218" t="s">
        <v>0</v>
      </c>
      <c r="C53" s="205" t="s">
        <v>0</v>
      </c>
      <c r="D53" s="205" t="s">
        <v>0</v>
      </c>
      <c r="E53" s="218" t="s">
        <v>0</v>
      </c>
      <c r="F53" s="205" t="s">
        <v>0</v>
      </c>
      <c r="G53" s="206" t="s">
        <v>0</v>
      </c>
    </row>
    <row r="54" spans="1:10" ht="17.5">
      <c r="A54" s="204" t="s">
        <v>257</v>
      </c>
      <c r="B54" s="218">
        <f>+B28</f>
        <v>6.4500000000000002E-2</v>
      </c>
      <c r="C54" s="214">
        <f>+C28</f>
        <v>0.95</v>
      </c>
      <c r="D54" s="205">
        <f>+B54*C54*0.75</f>
        <v>4.5956249999999997E-2</v>
      </c>
      <c r="E54" s="218">
        <f>+B54*0.25</f>
        <v>1.6125E-2</v>
      </c>
      <c r="F54" s="205">
        <f>+E28</f>
        <v>4.1099999999999998E-2</v>
      </c>
      <c r="G54" s="206">
        <f>+D54+E54+F54</f>
        <v>0.10318125</v>
      </c>
    </row>
    <row r="55" spans="1:10" ht="17.5">
      <c r="A55" s="204" t="s">
        <v>258</v>
      </c>
      <c r="B55" s="218">
        <f>+B29</f>
        <v>5.1900000000000002E-2</v>
      </c>
      <c r="C55" s="214">
        <f>+C29</f>
        <v>0.95</v>
      </c>
      <c r="D55" s="205">
        <f>+B55*C55*0.75</f>
        <v>3.6978750000000005E-2</v>
      </c>
      <c r="E55" s="218">
        <f>+B55*0.25</f>
        <v>1.2975E-2</v>
      </c>
      <c r="F55" s="205">
        <f>+E29</f>
        <v>4.1099999999999998E-2</v>
      </c>
      <c r="G55" s="206">
        <f>+D55+E55+F55</f>
        <v>9.1053750000000003E-2</v>
      </c>
    </row>
    <row r="56" spans="1:10" ht="17.5">
      <c r="A56" s="204"/>
      <c r="B56" s="218"/>
      <c r="C56" s="214"/>
      <c r="D56" s="205"/>
      <c r="E56" s="218"/>
      <c r="F56" s="205"/>
      <c r="G56" s="206"/>
    </row>
    <row r="57" spans="1:10" ht="17.5">
      <c r="A57" s="204" t="str">
        <f t="shared" ref="A57:A59" si="8">+A31</f>
        <v>KROLL Ex Post  - ERP Historical (8)</v>
      </c>
      <c r="B57" s="218">
        <f>+B31</f>
        <v>7.17E-2</v>
      </c>
      <c r="C57" s="214">
        <f>+C31</f>
        <v>0.95</v>
      </c>
      <c r="D57" s="205">
        <f>+B57*C57*0.75</f>
        <v>5.108625E-2</v>
      </c>
      <c r="E57" s="218">
        <f>+B57*0.25</f>
        <v>1.7925E-2</v>
      </c>
      <c r="F57" s="205">
        <f>+E31</f>
        <v>4.1099999999999998E-2</v>
      </c>
      <c r="G57" s="206">
        <f>+D57+E57+F57</f>
        <v>0.11011124999999999</v>
      </c>
    </row>
    <row r="58" spans="1:10" ht="17.5">
      <c r="A58" s="204" t="str">
        <f t="shared" si="8"/>
        <v>KROLL Ex Post - ERP Supply Side (8)</v>
      </c>
      <c r="B58" s="218">
        <f>+B32</f>
        <v>6.2199999999999998E-2</v>
      </c>
      <c r="C58" s="214">
        <f>+C32</f>
        <v>0.95</v>
      </c>
      <c r="D58" s="205">
        <f>+B58*C58*0.75</f>
        <v>4.4317499999999996E-2</v>
      </c>
      <c r="E58" s="218">
        <f>+B58*0.25</f>
        <v>1.555E-2</v>
      </c>
      <c r="F58" s="205">
        <f>+E32</f>
        <v>4.1099999999999998E-2</v>
      </c>
      <c r="G58" s="206">
        <f>+D58+E58+F58</f>
        <v>0.10096749999999999</v>
      </c>
    </row>
    <row r="59" spans="1:10" ht="17.5">
      <c r="A59" s="204" t="str">
        <f t="shared" si="8"/>
        <v>KROLL Ex Ante - ERP Conditional (8)</v>
      </c>
      <c r="B59" s="218">
        <f>+B33</f>
        <v>5.5E-2</v>
      </c>
      <c r="C59" s="214">
        <f>+C29</f>
        <v>0.95</v>
      </c>
      <c r="D59" s="205">
        <f>+B59*C59*0.75</f>
        <v>3.91875E-2</v>
      </c>
      <c r="E59" s="218">
        <f>+B59*0.25</f>
        <v>1.375E-2</v>
      </c>
      <c r="F59" s="205">
        <f>+E33</f>
        <v>4.1099999999999998E-2</v>
      </c>
      <c r="G59" s="206">
        <f>+D59+E59+F59</f>
        <v>9.4037499999999996E-2</v>
      </c>
    </row>
    <row r="60" spans="1:10" ht="17.5">
      <c r="A60" s="204"/>
      <c r="B60" s="218"/>
      <c r="C60" s="214"/>
      <c r="D60" s="205"/>
      <c r="E60" s="218"/>
      <c r="F60" s="205"/>
      <c r="G60" s="206"/>
    </row>
    <row r="61" spans="1:10" ht="17.5">
      <c r="A61" s="415" t="s">
        <v>446</v>
      </c>
      <c r="B61" s="408">
        <f>+B35</f>
        <v>0</v>
      </c>
      <c r="C61" s="214">
        <f>+C33</f>
        <v>0.95</v>
      </c>
      <c r="D61" s="205">
        <f>+B61*C61*0.75</f>
        <v>0</v>
      </c>
      <c r="E61" s="218">
        <f>+B61*0.25</f>
        <v>0</v>
      </c>
      <c r="F61" s="205">
        <v>0</v>
      </c>
      <c r="G61" s="206">
        <f>+D61+E61+F61</f>
        <v>0</v>
      </c>
    </row>
    <row r="62" spans="1:10" ht="15" thickBot="1">
      <c r="A62" s="370"/>
      <c r="B62" s="155"/>
      <c r="C62" s="155"/>
      <c r="D62" s="155"/>
      <c r="E62" s="155"/>
      <c r="F62" s="155"/>
      <c r="G62" s="371"/>
    </row>
    <row r="64" spans="1:10" ht="17.5">
      <c r="A64" s="65" t="s">
        <v>106</v>
      </c>
      <c r="E64" s="217" t="s">
        <v>0</v>
      </c>
    </row>
    <row r="65" spans="1:7">
      <c r="A65" s="165" t="s">
        <v>0</v>
      </c>
      <c r="E65" s="217" t="s">
        <v>0</v>
      </c>
    </row>
    <row r="66" spans="1:7" ht="17">
      <c r="A66" s="45" t="s">
        <v>447</v>
      </c>
      <c r="B66" s="13"/>
      <c r="C66" s="13"/>
      <c r="D66" s="13"/>
      <c r="E66" s="13"/>
      <c r="F66" s="13"/>
      <c r="G66" s="13"/>
    </row>
    <row r="67" spans="1:7" ht="17">
      <c r="A67" s="45" t="s">
        <v>0</v>
      </c>
      <c r="B67" s="13"/>
      <c r="C67" s="13"/>
      <c r="D67" s="13"/>
      <c r="E67" s="13"/>
      <c r="F67" s="13"/>
      <c r="G67" s="13"/>
    </row>
    <row r="68" spans="1:7" ht="17">
      <c r="A68" s="45" t="s">
        <v>514</v>
      </c>
      <c r="B68" s="13"/>
      <c r="C68" s="13"/>
      <c r="D68" s="13"/>
      <c r="E68" s="13"/>
      <c r="F68" s="13"/>
      <c r="G68" s="13"/>
    </row>
    <row r="69" spans="1:7" ht="17">
      <c r="A69" s="152" t="s">
        <v>448</v>
      </c>
      <c r="C69" s="13"/>
      <c r="D69" s="13"/>
      <c r="E69" s="13"/>
      <c r="F69" s="13"/>
      <c r="G69" s="13"/>
    </row>
    <row r="70" spans="1:7" ht="17">
      <c r="A70" s="45" t="s">
        <v>0</v>
      </c>
      <c r="B70" s="13"/>
      <c r="C70" s="13"/>
      <c r="D70" s="13"/>
      <c r="E70" s="13"/>
      <c r="F70" s="13"/>
      <c r="G70" s="13"/>
    </row>
    <row r="71" spans="1:7" ht="17">
      <c r="A71" s="45" t="s">
        <v>515</v>
      </c>
      <c r="B71" s="13"/>
      <c r="C71" s="13"/>
      <c r="D71" s="13"/>
      <c r="E71" s="13"/>
      <c r="F71" s="13"/>
      <c r="G71" s="13"/>
    </row>
    <row r="72" spans="1:7" ht="17">
      <c r="A72" s="152" t="s">
        <v>449</v>
      </c>
      <c r="B72" s="13"/>
      <c r="C72" s="13"/>
      <c r="D72" s="13"/>
      <c r="E72" s="13"/>
      <c r="F72" s="13"/>
      <c r="G72" s="13"/>
    </row>
    <row r="73" spans="1:7" ht="17">
      <c r="A73" s="45"/>
      <c r="B73" s="13"/>
      <c r="C73" s="13"/>
      <c r="D73" s="13"/>
      <c r="E73" s="13"/>
      <c r="F73" s="13"/>
      <c r="G73" s="13"/>
    </row>
    <row r="74" spans="1:7" ht="17">
      <c r="A74" s="45" t="s">
        <v>516</v>
      </c>
      <c r="B74" s="13"/>
      <c r="C74" s="13"/>
      <c r="D74" s="13"/>
      <c r="E74" s="13"/>
      <c r="F74" s="13"/>
      <c r="G74" s="13"/>
    </row>
    <row r="75" spans="1:7" ht="17">
      <c r="A75" s="152" t="s">
        <v>517</v>
      </c>
      <c r="B75" s="13"/>
      <c r="C75" s="13"/>
      <c r="D75" s="13"/>
      <c r="E75" s="13"/>
      <c r="F75" s="13"/>
      <c r="G75" s="13"/>
    </row>
    <row r="76" spans="1:7" ht="17">
      <c r="A76" s="45"/>
      <c r="B76" s="13"/>
      <c r="C76" s="13"/>
      <c r="D76" s="13"/>
      <c r="E76" s="13"/>
      <c r="F76" s="13"/>
      <c r="G76" s="13"/>
    </row>
    <row r="77" spans="1:7" ht="17">
      <c r="A77" s="45" t="s">
        <v>518</v>
      </c>
      <c r="B77" s="13"/>
      <c r="C77" s="13"/>
      <c r="D77" s="13"/>
      <c r="E77" s="13"/>
      <c r="F77" s="13"/>
      <c r="G77" s="13"/>
    </row>
    <row r="78" spans="1:7" ht="17">
      <c r="A78" s="152" t="s">
        <v>450</v>
      </c>
      <c r="B78" s="13"/>
      <c r="C78" s="13"/>
      <c r="D78" s="13"/>
      <c r="E78" s="13"/>
      <c r="F78" s="13"/>
      <c r="G78" s="13"/>
    </row>
    <row r="79" spans="1:7">
      <c r="A79" s="165"/>
    </row>
    <row r="80" spans="1:7" ht="17">
      <c r="A80" s="45" t="s">
        <v>519</v>
      </c>
    </row>
    <row r="81" spans="1:7" ht="17">
      <c r="A81" s="45" t="s">
        <v>0</v>
      </c>
    </row>
    <row r="82" spans="1:7" ht="17">
      <c r="A82" s="45" t="s">
        <v>520</v>
      </c>
    </row>
    <row r="83" spans="1:7">
      <c r="A83" s="152" t="s">
        <v>451</v>
      </c>
    </row>
    <row r="84" spans="1:7" ht="21.5" thickBot="1">
      <c r="A84" s="156"/>
      <c r="B84" s="156"/>
      <c r="C84" s="156"/>
      <c r="D84" s="30"/>
      <c r="E84" s="38"/>
      <c r="F84" s="30"/>
      <c r="G84" s="155"/>
    </row>
  </sheetData>
  <hyperlinks>
    <hyperlink ref="A83" r:id="rId1" xr:uid="{B46970AC-9F77-424F-A792-C3D10784A850}"/>
    <hyperlink ref="A78" r:id="rId2" xr:uid="{45D6A8A1-5981-430F-A2D2-3818AA3D2CD5}"/>
    <hyperlink ref="A69" r:id="rId3" xr:uid="{5555DF15-DA3D-419E-B493-647D869518C0}"/>
    <hyperlink ref="A72" r:id="rId4" xr:uid="{E0FD12C2-6B38-4314-9A79-3ED36302C13D}"/>
    <hyperlink ref="A75" r:id="rId5" xr:uid="{0E2118C0-53DD-4C69-BF28-461A9CBEA0CC}"/>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55"/>
  <sheetViews>
    <sheetView view="pageBreakPreview" topLeftCell="A10" zoomScale="70" zoomScaleNormal="80" zoomScaleSheetLayoutView="70" workbookViewId="0">
      <selection activeCell="H46" sqref="H46"/>
    </sheetView>
  </sheetViews>
  <sheetFormatPr defaultRowHeight="14.5"/>
  <cols>
    <col min="1" max="1" width="45.1796875" customWidth="1"/>
    <col min="2" max="2" width="10.81640625" bestFit="1" customWidth="1"/>
    <col min="3" max="3" width="23.54296875" customWidth="1"/>
    <col min="4" max="4" width="15.26953125" customWidth="1"/>
    <col min="5" max="5" width="27.1796875" customWidth="1"/>
    <col min="6" max="6" width="22" customWidth="1"/>
    <col min="7" max="7" width="29.26953125" customWidth="1"/>
    <col min="8" max="8" width="37" customWidth="1"/>
    <col min="9" max="9" width="24.54296875" customWidth="1"/>
    <col min="10" max="10" width="24.1796875" customWidth="1"/>
    <col min="12" max="12" width="10.54296875" customWidth="1"/>
  </cols>
  <sheetData>
    <row r="1" spans="1:11" ht="25.5">
      <c r="A1" s="25" t="s">
        <v>1</v>
      </c>
      <c r="B1" s="13"/>
      <c r="C1" s="13"/>
      <c r="D1" s="13"/>
      <c r="E1" s="13"/>
      <c r="F1" s="13"/>
      <c r="G1" s="13"/>
      <c r="H1" s="13"/>
      <c r="I1" s="13"/>
      <c r="J1" s="13"/>
      <c r="K1" s="13"/>
    </row>
    <row r="2" spans="1:11" ht="17.5">
      <c r="A2" s="26" t="s">
        <v>9</v>
      </c>
      <c r="B2" s="13"/>
      <c r="C2" s="13"/>
      <c r="D2" s="13"/>
      <c r="E2" s="13"/>
      <c r="F2" s="13"/>
      <c r="G2" s="13"/>
      <c r="H2" s="13"/>
      <c r="I2" s="13"/>
      <c r="J2" s="13"/>
      <c r="K2" s="13"/>
    </row>
    <row r="3" spans="1:11" ht="17">
      <c r="A3" s="27" t="s">
        <v>483</v>
      </c>
      <c r="B3" s="13"/>
      <c r="C3" s="13"/>
      <c r="D3" s="13"/>
      <c r="E3" s="13"/>
      <c r="F3" s="13"/>
      <c r="G3" s="13"/>
      <c r="H3" s="13"/>
      <c r="I3" s="13"/>
      <c r="J3" s="13"/>
      <c r="K3" s="13"/>
    </row>
    <row r="4" spans="1:11" ht="17">
      <c r="A4" s="27"/>
      <c r="B4" s="13"/>
      <c r="C4" s="13"/>
      <c r="D4" s="13"/>
      <c r="E4" s="13"/>
      <c r="F4" s="13"/>
      <c r="G4" s="13"/>
      <c r="H4" s="13"/>
      <c r="I4" s="13"/>
      <c r="J4" s="13"/>
      <c r="K4" s="13"/>
    </row>
    <row r="5" spans="1:11" ht="17.5" thickBot="1">
      <c r="A5" s="13"/>
      <c r="B5" s="13"/>
      <c r="C5" s="13"/>
      <c r="D5" s="13"/>
      <c r="E5" s="13"/>
      <c r="F5" s="13"/>
      <c r="G5" s="13"/>
      <c r="H5" s="28"/>
      <c r="I5" s="13"/>
      <c r="J5" s="13"/>
      <c r="K5" s="13"/>
    </row>
    <row r="6" spans="1:11" ht="18" thickBot="1">
      <c r="A6" s="277" t="str">
        <f>+'S&amp;D'!A12</f>
        <v>Electric Utilities</v>
      </c>
      <c r="B6" s="203"/>
      <c r="C6" s="13"/>
      <c r="D6" s="30"/>
      <c r="E6" s="30"/>
      <c r="F6" s="30"/>
      <c r="G6" s="31" t="s">
        <v>0</v>
      </c>
      <c r="H6" s="30"/>
      <c r="I6" s="13"/>
      <c r="J6" s="13"/>
      <c r="K6" s="13"/>
    </row>
    <row r="7" spans="1:11" ht="25.5">
      <c r="A7" s="32"/>
      <c r="B7" s="13"/>
      <c r="C7" s="13"/>
      <c r="D7" s="13"/>
      <c r="E7" s="13"/>
      <c r="F7" s="33" t="s">
        <v>434</v>
      </c>
      <c r="G7" s="13"/>
      <c r="H7" s="13"/>
      <c r="I7" s="13"/>
      <c r="J7" s="13"/>
      <c r="K7" s="13"/>
    </row>
    <row r="8" spans="1:11" ht="21.5" thickBot="1">
      <c r="A8" s="32"/>
      <c r="B8" s="13"/>
      <c r="C8" s="13"/>
      <c r="D8" s="30"/>
      <c r="E8" s="30"/>
      <c r="F8" s="34" t="s">
        <v>484</v>
      </c>
      <c r="G8" s="30"/>
      <c r="H8" s="30"/>
      <c r="I8" s="13"/>
      <c r="J8" s="13"/>
      <c r="K8" s="13"/>
    </row>
    <row r="9" spans="1:11" ht="17.5" thickBot="1">
      <c r="A9" s="35" t="s">
        <v>0</v>
      </c>
      <c r="B9" s="35" t="s">
        <v>0</v>
      </c>
      <c r="C9" s="35" t="s">
        <v>0</v>
      </c>
      <c r="D9" s="30"/>
      <c r="E9" s="35"/>
      <c r="F9" s="35" t="s">
        <v>0</v>
      </c>
      <c r="G9" s="35"/>
      <c r="H9" s="30"/>
      <c r="I9" s="30"/>
      <c r="J9" s="30"/>
      <c r="K9" s="13"/>
    </row>
    <row r="10" spans="1:11" ht="17">
      <c r="A10" s="36" t="s">
        <v>0</v>
      </c>
      <c r="B10" s="36" t="s">
        <v>3</v>
      </c>
      <c r="C10" s="36" t="s">
        <v>5</v>
      </c>
      <c r="D10" s="36" t="s">
        <v>201</v>
      </c>
      <c r="E10" s="36" t="s">
        <v>12</v>
      </c>
      <c r="F10" s="36" t="s">
        <v>213</v>
      </c>
      <c r="G10" s="36" t="s">
        <v>214</v>
      </c>
      <c r="H10" s="36" t="s">
        <v>214</v>
      </c>
      <c r="I10" s="36" t="s">
        <v>210</v>
      </c>
      <c r="J10" s="36" t="s">
        <v>210</v>
      </c>
      <c r="K10" s="13"/>
    </row>
    <row r="11" spans="1:11" ht="17">
      <c r="A11" s="36" t="s">
        <v>2</v>
      </c>
      <c r="B11" s="36" t="s">
        <v>4</v>
      </c>
      <c r="C11" s="36" t="s">
        <v>6</v>
      </c>
      <c r="D11" s="36" t="s">
        <v>242</v>
      </c>
      <c r="E11" s="36" t="s">
        <v>14</v>
      </c>
      <c r="F11" s="36" t="s">
        <v>428</v>
      </c>
      <c r="G11" s="36" t="s">
        <v>243</v>
      </c>
      <c r="H11" s="36" t="s">
        <v>244</v>
      </c>
      <c r="I11" s="36" t="s">
        <v>204</v>
      </c>
      <c r="J11" s="36" t="s">
        <v>208</v>
      </c>
      <c r="K11" s="13"/>
    </row>
    <row r="12" spans="1:11" ht="17">
      <c r="A12" s="36"/>
      <c r="B12" s="36"/>
      <c r="C12" s="36"/>
      <c r="D12" s="36"/>
      <c r="E12" s="36"/>
      <c r="F12" s="37" t="s">
        <v>0</v>
      </c>
      <c r="G12" s="37" t="s">
        <v>525</v>
      </c>
      <c r="H12" s="37" t="s">
        <v>429</v>
      </c>
      <c r="I12" s="36"/>
      <c r="J12" s="36"/>
      <c r="K12" s="13"/>
    </row>
    <row r="13" spans="1:11" ht="17.5" thickBot="1">
      <c r="A13" s="38" t="s">
        <v>0</v>
      </c>
      <c r="B13" s="39" t="s">
        <v>123</v>
      </c>
      <c r="C13" s="39" t="s">
        <v>124</v>
      </c>
      <c r="D13" s="39" t="s">
        <v>125</v>
      </c>
      <c r="E13" s="39" t="s">
        <v>126</v>
      </c>
      <c r="F13" s="39" t="s">
        <v>127</v>
      </c>
      <c r="G13" s="39" t="s">
        <v>128</v>
      </c>
      <c r="H13" s="39" t="s">
        <v>129</v>
      </c>
      <c r="I13" s="39" t="s">
        <v>211</v>
      </c>
      <c r="J13" s="39" t="s">
        <v>212</v>
      </c>
      <c r="K13" s="13"/>
    </row>
    <row r="14" spans="1:11" ht="17">
      <c r="A14" s="40" t="s">
        <v>7</v>
      </c>
      <c r="B14" s="40" t="s">
        <v>7</v>
      </c>
      <c r="C14" s="40" t="s">
        <v>7</v>
      </c>
      <c r="D14" s="41" t="s">
        <v>147</v>
      </c>
      <c r="E14" s="41"/>
      <c r="F14" s="40" t="s">
        <v>7</v>
      </c>
      <c r="G14" s="40" t="s">
        <v>7</v>
      </c>
      <c r="H14" s="40" t="s">
        <v>7</v>
      </c>
      <c r="I14" s="40" t="s">
        <v>0</v>
      </c>
      <c r="J14" s="40" t="s">
        <v>0</v>
      </c>
      <c r="K14" s="13"/>
    </row>
    <row r="15" spans="1:11" ht="17">
      <c r="A15" s="36"/>
      <c r="B15" s="36"/>
      <c r="C15" s="36"/>
      <c r="D15" s="36"/>
      <c r="E15" s="36"/>
      <c r="F15" s="36"/>
      <c r="G15" s="36"/>
      <c r="H15" s="13"/>
      <c r="I15" s="13"/>
      <c r="J15" s="13"/>
      <c r="K15" s="13"/>
    </row>
    <row r="16" spans="1:11" ht="17">
      <c r="A16" s="13"/>
      <c r="B16" s="13"/>
      <c r="C16" s="13"/>
      <c r="D16" s="13"/>
      <c r="E16" s="13"/>
      <c r="F16" s="13"/>
      <c r="G16" s="13"/>
      <c r="H16" s="13"/>
      <c r="I16" s="13"/>
      <c r="J16" s="13"/>
      <c r="K16" s="13"/>
    </row>
    <row r="17" spans="1:11" ht="17.5">
      <c r="A17" s="45" t="str">
        <f>+'S&amp;D'!A22</f>
        <v>ALLETE Inc</v>
      </c>
      <c r="B17" s="36" t="str">
        <f>+'S&amp;D'!B22</f>
        <v>ALE</v>
      </c>
      <c r="C17" s="36" t="str">
        <f>+'S&amp;D'!C22</f>
        <v>Electric Utility - Cent</v>
      </c>
      <c r="D17" s="62">
        <f>+'S&amp;D'!G22</f>
        <v>61.16</v>
      </c>
      <c r="E17" s="63">
        <f>+'S&amp;D'!D47</f>
        <v>3522816000</v>
      </c>
      <c r="F17" s="56">
        <f>+'Dividends '!H16</f>
        <v>4.7907128842380645E-2</v>
      </c>
      <c r="G17" s="56">
        <v>3.5000000000000003E-2</v>
      </c>
      <c r="H17" s="56">
        <v>0.06</v>
      </c>
      <c r="I17" s="347">
        <f>+F17+G17</f>
        <v>8.2907128842380648E-2</v>
      </c>
      <c r="J17" s="347">
        <f>+F17+H17</f>
        <v>0.10790712884238064</v>
      </c>
      <c r="K17" s="13"/>
    </row>
    <row r="18" spans="1:11" ht="17.5">
      <c r="A18" s="45" t="str">
        <f>+'S&amp;D'!A23</f>
        <v>Alliant Energy</v>
      </c>
      <c r="B18" s="36" t="str">
        <f>+'S&amp;D'!B23</f>
        <v>LNT</v>
      </c>
      <c r="C18" s="36" t="str">
        <f>+'S&amp;D'!C23</f>
        <v>Electric Utility - Cent</v>
      </c>
      <c r="D18" s="62">
        <f>+'S&amp;D'!G23</f>
        <v>51.3</v>
      </c>
      <c r="E18" s="63">
        <f>+'S&amp;D'!D48</f>
        <v>13137768302.4</v>
      </c>
      <c r="F18" s="56">
        <f>+'Dividends '!H17</f>
        <v>3.9766081871345033E-2</v>
      </c>
      <c r="G18" s="56">
        <v>0.06</v>
      </c>
      <c r="H18" s="56">
        <v>6.5000000000000002E-2</v>
      </c>
      <c r="I18" s="347">
        <f t="shared" ref="I18:I32" si="0">+F18+G18</f>
        <v>9.976608187134503E-2</v>
      </c>
      <c r="J18" s="347">
        <f t="shared" ref="J18:J32" si="1">+F18+H18</f>
        <v>0.10476608187134503</v>
      </c>
      <c r="K18" s="13"/>
    </row>
    <row r="19" spans="1:11" ht="17.5">
      <c r="A19" s="45" t="str">
        <f>+'S&amp;D'!A24</f>
        <v>AMEREN Corporation</v>
      </c>
      <c r="B19" s="36" t="str">
        <f>+'S&amp;D'!B24</f>
        <v>AEE</v>
      </c>
      <c r="C19" s="36" t="str">
        <f>+'S&amp;D'!C24</f>
        <v>Electric Utility - Cent</v>
      </c>
      <c r="D19" s="62">
        <f>+'S&amp;D'!G24</f>
        <v>72.34</v>
      </c>
      <c r="E19" s="63">
        <f>+'S&amp;D'!D49</f>
        <v>19264142000</v>
      </c>
      <c r="F19" s="56">
        <f>+'Dividends '!H18</f>
        <v>3.9535526679568701E-2</v>
      </c>
      <c r="G19" s="56">
        <v>6.5000000000000002E-2</v>
      </c>
      <c r="H19" s="56">
        <v>6.5000000000000002E-2</v>
      </c>
      <c r="I19" s="347">
        <f t="shared" si="0"/>
        <v>0.1045355266795687</v>
      </c>
      <c r="J19" s="347">
        <f t="shared" si="1"/>
        <v>0.1045355266795687</v>
      </c>
      <c r="K19" s="13"/>
    </row>
    <row r="20" spans="1:11" ht="17.5">
      <c r="A20" s="45" t="str">
        <f>+'S&amp;D'!A25</f>
        <v>American Electric Power</v>
      </c>
      <c r="B20" s="36" t="str">
        <f>+'S&amp;D'!B25</f>
        <v>AEP</v>
      </c>
      <c r="C20" s="36" t="str">
        <f>+'S&amp;D'!C25</f>
        <v>Electric Utility - Cent</v>
      </c>
      <c r="D20" s="62">
        <f>+'S&amp;D'!G25</f>
        <v>81.22</v>
      </c>
      <c r="E20" s="63">
        <f>+'S&amp;D'!D50</f>
        <v>42736711993.699997</v>
      </c>
      <c r="F20" s="56">
        <f>+'Dividends '!H19</f>
        <v>4.6909628170401382E-2</v>
      </c>
      <c r="G20" s="56">
        <v>5.5E-2</v>
      </c>
      <c r="H20" s="56">
        <v>6.5000000000000002E-2</v>
      </c>
      <c r="I20" s="347">
        <f t="shared" si="0"/>
        <v>0.10190962817040139</v>
      </c>
      <c r="J20" s="347">
        <f t="shared" si="1"/>
        <v>0.11190962817040138</v>
      </c>
      <c r="K20" s="13"/>
    </row>
    <row r="21" spans="1:11" ht="17.5">
      <c r="A21" s="45" t="str">
        <f>+'S&amp;D'!A26</f>
        <v>Centerpoint Energy</v>
      </c>
      <c r="B21" s="36" t="str">
        <f>+'S&amp;D'!B26</f>
        <v>CNP</v>
      </c>
      <c r="C21" s="36" t="str">
        <f>+'S&amp;D'!C26</f>
        <v>Electric Utility - Cent</v>
      </c>
      <c r="D21" s="62">
        <f>+'S&amp;D'!G26</f>
        <v>28.57</v>
      </c>
      <c r="E21" s="63">
        <f>+'S&amp;D'!D51</f>
        <v>18034121934.529999</v>
      </c>
      <c r="F21" s="56">
        <f>+'Dividends '!H20</f>
        <v>3.1151557577878894E-2</v>
      </c>
      <c r="G21" s="56">
        <v>0.03</v>
      </c>
      <c r="H21" s="56">
        <v>0.06</v>
      </c>
      <c r="I21" s="347">
        <f>+F21+G21</f>
        <v>6.1151557577878893E-2</v>
      </c>
      <c r="J21" s="347">
        <f>+F21+H21</f>
        <v>9.1151557577878892E-2</v>
      </c>
      <c r="K21" s="13"/>
    </row>
    <row r="22" spans="1:11" ht="17.5">
      <c r="A22" s="45" t="str">
        <f>+'S&amp;D'!A27</f>
        <v>CMS Energy</v>
      </c>
      <c r="B22" s="36" t="str">
        <f>+'S&amp;D'!B27</f>
        <v>CMS</v>
      </c>
      <c r="C22" s="36" t="str">
        <f>+'S&amp;D'!C27</f>
        <v>Electric Utility - Cent</v>
      </c>
      <c r="D22" s="62">
        <f>+'S&amp;D'!G27</f>
        <v>58.07</v>
      </c>
      <c r="E22" s="63">
        <f>+'S&amp;D'!D52</f>
        <v>17095808000</v>
      </c>
      <c r="F22" s="56">
        <f>+'Dividends '!H21</f>
        <v>3.719648699845015E-2</v>
      </c>
      <c r="G22" s="56">
        <v>0.04</v>
      </c>
      <c r="H22" s="56">
        <v>0.05</v>
      </c>
      <c r="I22" s="347">
        <f t="shared" si="0"/>
        <v>7.7196486998450151E-2</v>
      </c>
      <c r="J22" s="347">
        <f t="shared" si="1"/>
        <v>8.7196486998450146E-2</v>
      </c>
      <c r="K22" s="13"/>
    </row>
    <row r="23" spans="1:11" ht="17.5">
      <c r="A23" s="45" t="str">
        <f>+'S&amp;D'!A28</f>
        <v>DTE Energy</v>
      </c>
      <c r="B23" s="36" t="str">
        <f>+'S&amp;D'!B28</f>
        <v>DTE</v>
      </c>
      <c r="C23" s="36" t="str">
        <f>+'S&amp;D'!C28</f>
        <v>Electric Utility - Cent</v>
      </c>
      <c r="D23" s="62">
        <f>+'S&amp;D'!G28</f>
        <v>110.26</v>
      </c>
      <c r="E23" s="63">
        <f>+'S&amp;D'!D53</f>
        <v>22752930538.200001</v>
      </c>
      <c r="F23" s="56">
        <f>+'Dividends '!H22</f>
        <v>3.9361509160166876E-2</v>
      </c>
      <c r="G23" s="56">
        <v>0.03</v>
      </c>
      <c r="H23" s="56">
        <v>4.4999999999999998E-2</v>
      </c>
      <c r="I23" s="347">
        <f t="shared" si="0"/>
        <v>6.9361509160166868E-2</v>
      </c>
      <c r="J23" s="347">
        <f t="shared" si="1"/>
        <v>8.4361509160166881E-2</v>
      </c>
      <c r="K23" s="13"/>
    </row>
    <row r="24" spans="1:11" ht="17.5">
      <c r="A24" s="45" t="str">
        <f>+'S&amp;D'!A29</f>
        <v>Duke Energy</v>
      </c>
      <c r="B24" s="36" t="str">
        <f>+'S&amp;D'!B29</f>
        <v>DUK</v>
      </c>
      <c r="C24" s="36" t="str">
        <f>+'S&amp;D'!C29</f>
        <v>Electric Utility - East</v>
      </c>
      <c r="D24" s="62">
        <f>+'S&amp;D'!G29</f>
        <v>97.04</v>
      </c>
      <c r="E24" s="63">
        <f>+'S&amp;D'!D54</f>
        <v>74817840000</v>
      </c>
      <c r="F24" s="56">
        <f>+'Dividends '!H23</f>
        <v>4.3487221764220936E-2</v>
      </c>
      <c r="G24" s="56">
        <v>0.02</v>
      </c>
      <c r="H24" s="56">
        <v>0.05</v>
      </c>
      <c r="I24" s="347">
        <f t="shared" si="0"/>
        <v>6.3487221764220933E-2</v>
      </c>
      <c r="J24" s="347">
        <f t="shared" si="1"/>
        <v>9.3487221764220946E-2</v>
      </c>
      <c r="K24" s="13"/>
    </row>
    <row r="25" spans="1:11" ht="17.5">
      <c r="A25" s="45" t="str">
        <f>+'S&amp;D'!A30</f>
        <v>Entergy Corp</v>
      </c>
      <c r="B25" s="36" t="str">
        <f>+'S&amp;D'!B30</f>
        <v>ETR</v>
      </c>
      <c r="C25" s="36" t="str">
        <f>+'S&amp;D'!C30</f>
        <v>Electric Utility - Cent</v>
      </c>
      <c r="D25" s="62">
        <f>+'S&amp;D'!G30</f>
        <v>101.19</v>
      </c>
      <c r="E25" s="63">
        <f>+'S&amp;D'!D55</f>
        <v>21538146798.299999</v>
      </c>
      <c r="F25" s="56">
        <f>+'Dividends '!H24</f>
        <v>4.644727739895247E-2</v>
      </c>
      <c r="G25" s="56">
        <v>3.5000000000000003E-2</v>
      </c>
      <c r="H25" s="56">
        <v>5.0000000000000001E-3</v>
      </c>
      <c r="I25" s="347">
        <f t="shared" si="0"/>
        <v>8.1447277398952467E-2</v>
      </c>
      <c r="J25" s="347">
        <f t="shared" si="1"/>
        <v>5.1447277398952468E-2</v>
      </c>
      <c r="K25" s="13"/>
    </row>
    <row r="26" spans="1:11" ht="17.5">
      <c r="A26" s="45" t="str">
        <f>+'S&amp;D'!A31</f>
        <v>Evergy Inc</v>
      </c>
      <c r="B26" s="36" t="str">
        <f>+'S&amp;D'!B31</f>
        <v>EVRG</v>
      </c>
      <c r="C26" s="36" t="str">
        <f>+'S&amp;D'!C31</f>
        <v>Electric Utility - Cent</v>
      </c>
      <c r="D26" s="62">
        <f>+'S&amp;D'!G31</f>
        <v>52.2</v>
      </c>
      <c r="E26" s="63">
        <f>+'S&amp;D'!D56</f>
        <v>11991869251.200001</v>
      </c>
      <c r="F26" s="56">
        <f>+'Dividends '!H25</f>
        <v>5.2490421455938699E-2</v>
      </c>
      <c r="G26" s="56">
        <v>7.0000000000000007E-2</v>
      </c>
      <c r="H26" s="56">
        <v>7.4999999999999997E-2</v>
      </c>
      <c r="I26" s="347">
        <f t="shared" ref="I26" si="2">+F26+G26</f>
        <v>0.12249042145593871</v>
      </c>
      <c r="J26" s="347">
        <f t="shared" ref="J26" si="3">+F26+H26</f>
        <v>0.1274904214559387</v>
      </c>
      <c r="K26" s="13"/>
    </row>
    <row r="27" spans="1:11" ht="17.5">
      <c r="A27" s="45" t="str">
        <f>+'S&amp;D'!A32</f>
        <v>FirstEnergy Corp</v>
      </c>
      <c r="B27" s="36" t="str">
        <f>+'S&amp;D'!B32</f>
        <v>FE</v>
      </c>
      <c r="C27" s="36" t="str">
        <f>+'S&amp;D'!C32</f>
        <v>Electric Utility - East</v>
      </c>
      <c r="D27" s="62">
        <f>+'S&amp;D'!G32</f>
        <v>36.659999999999997</v>
      </c>
      <c r="E27" s="63">
        <f>+'S&amp;D'!D57</f>
        <v>21055135617.359997</v>
      </c>
      <c r="F27" s="56">
        <f>+'Dividends '!H26</f>
        <v>4.8008728859792696E-2</v>
      </c>
      <c r="G27" s="56">
        <v>4.4999999999999998E-2</v>
      </c>
      <c r="H27" s="56">
        <v>4.4999999999999998E-2</v>
      </c>
      <c r="I27" s="347">
        <f t="shared" si="0"/>
        <v>9.3008728859792694E-2</v>
      </c>
      <c r="J27" s="347">
        <f t="shared" si="1"/>
        <v>9.3008728859792694E-2</v>
      </c>
      <c r="K27" s="13"/>
    </row>
    <row r="28" spans="1:11" ht="17.5">
      <c r="A28" s="45" t="str">
        <f>+'S&amp;D'!A33</f>
        <v>OGE Energy Corp.</v>
      </c>
      <c r="B28" s="36" t="str">
        <f>+'S&amp;D'!B33</f>
        <v>OGE</v>
      </c>
      <c r="C28" s="36" t="str">
        <f>+'S&amp;D'!C33</f>
        <v>Electric Utility - Cent</v>
      </c>
      <c r="D28" s="62">
        <f>+'S&amp;D'!G33</f>
        <v>34.93</v>
      </c>
      <c r="E28" s="63">
        <f>+'S&amp;D'!D58</f>
        <v>6996479000</v>
      </c>
      <c r="F28" s="56">
        <f>+'Dividends '!H27</f>
        <v>4.9527626681935298E-2</v>
      </c>
      <c r="G28" s="56">
        <v>0.03</v>
      </c>
      <c r="H28" s="56">
        <v>6.5000000000000002E-2</v>
      </c>
      <c r="I28" s="347">
        <f t="shared" si="0"/>
        <v>7.9527626681935304E-2</v>
      </c>
      <c r="J28" s="347">
        <f t="shared" si="1"/>
        <v>0.11452762668193531</v>
      </c>
      <c r="K28" s="13"/>
    </row>
    <row r="29" spans="1:11" ht="17.5">
      <c r="A29" s="45" t="str">
        <f>+'S&amp;D'!A34</f>
        <v>Otter Tail Corp</v>
      </c>
      <c r="B29" s="36" t="str">
        <f>+'S&amp;D'!B34</f>
        <v>OTTR</v>
      </c>
      <c r="C29" s="36" t="str">
        <f>+'S&amp;D'!C34</f>
        <v>Electric Utility - Cent</v>
      </c>
      <c r="D29" s="62">
        <f>+'S&amp;D'!G34</f>
        <v>84.97</v>
      </c>
      <c r="E29" s="63">
        <f>+'S&amp;D'!D59</f>
        <v>3544142969.3699999</v>
      </c>
      <c r="F29" s="56">
        <f>+'Dividends '!H28</f>
        <v>2.3184653407084855E-2</v>
      </c>
      <c r="G29" s="56">
        <v>7.0000000000000007E-2</v>
      </c>
      <c r="H29" s="56">
        <v>4.4999999999999998E-2</v>
      </c>
      <c r="I29" s="347">
        <f t="shared" si="0"/>
        <v>9.3184653407084858E-2</v>
      </c>
      <c r="J29" s="347">
        <f t="shared" si="1"/>
        <v>6.818465340708485E-2</v>
      </c>
      <c r="K29" s="13"/>
    </row>
    <row r="30" spans="1:11" ht="17.5">
      <c r="A30" s="45" t="str">
        <f>+'S&amp;D'!A35</f>
        <v>PPL Corporation</v>
      </c>
      <c r="B30" s="36" t="str">
        <f>+'S&amp;D'!B35</f>
        <v>PPL</v>
      </c>
      <c r="C30" s="36" t="str">
        <f>+'S&amp;D'!C35</f>
        <v>Electric Utility - East</v>
      </c>
      <c r="D30" s="62">
        <f>+'S&amp;D'!G35</f>
        <v>27.1</v>
      </c>
      <c r="E30" s="63">
        <f>+'S&amp;D'!D60</f>
        <v>19976223000</v>
      </c>
      <c r="F30" s="56">
        <f>+'Dividends '!H29</f>
        <v>4.0590405904059039E-2</v>
      </c>
      <c r="G30" s="56">
        <v>-5.0000000000000001E-3</v>
      </c>
      <c r="H30" s="56">
        <v>7.4999999999999997E-2</v>
      </c>
      <c r="I30" s="347">
        <f t="shared" ref="I30" si="4">+F30+G30</f>
        <v>3.5590405904059041E-2</v>
      </c>
      <c r="J30" s="347">
        <f t="shared" ref="J30" si="5">+F30+H30</f>
        <v>0.11559040590405903</v>
      </c>
      <c r="K30" s="13"/>
    </row>
    <row r="31" spans="1:11" ht="17.5">
      <c r="A31" s="45" t="str">
        <f>+'S&amp;D'!A36</f>
        <v>The Southern Company</v>
      </c>
      <c r="B31" s="36" t="str">
        <f>+'S&amp;D'!B36</f>
        <v>SO</v>
      </c>
      <c r="C31" s="36" t="str">
        <f>+'S&amp;D'!C36</f>
        <v>Electric Utility - East</v>
      </c>
      <c r="D31" s="62">
        <f>+'S&amp;D'!G36</f>
        <v>70.12</v>
      </c>
      <c r="E31" s="63">
        <f>+'S&amp;D'!D61</f>
        <v>77061880000</v>
      </c>
      <c r="F31" s="56">
        <f>+'Dividends '!H30</f>
        <v>4.1928123217341698E-2</v>
      </c>
      <c r="G31" s="56">
        <v>3.5000000000000003E-2</v>
      </c>
      <c r="H31" s="56">
        <v>6.5000000000000002E-2</v>
      </c>
      <c r="I31" s="347">
        <f t="shared" si="0"/>
        <v>7.6928123217341701E-2</v>
      </c>
      <c r="J31" s="347">
        <f t="shared" si="1"/>
        <v>0.1069281232173417</v>
      </c>
      <c r="K31" s="13"/>
    </row>
    <row r="32" spans="1:11" ht="18" thickBot="1">
      <c r="A32" s="45" t="str">
        <f>+'S&amp;D'!A37</f>
        <v>WEC Energy Group</v>
      </c>
      <c r="B32" s="36" t="str">
        <f>+'S&amp;D'!B37</f>
        <v>WEC</v>
      </c>
      <c r="C32" s="36" t="str">
        <f>+'S&amp;D'!C37</f>
        <v>Electric Utility - Cent</v>
      </c>
      <c r="D32" s="62">
        <f>+'S&amp;D'!G37</f>
        <v>84.17</v>
      </c>
      <c r="E32" s="63">
        <f>+'S&amp;D'!D62</f>
        <v>26550124474.27</v>
      </c>
      <c r="F32" s="348">
        <f>+'Dividends '!H31</f>
        <v>4.2414161815373642E-2</v>
      </c>
      <c r="G32" s="348">
        <v>7.0000000000000007E-2</v>
      </c>
      <c r="H32" s="348">
        <v>0.06</v>
      </c>
      <c r="I32" s="349">
        <f t="shared" si="0"/>
        <v>0.11241416181537364</v>
      </c>
      <c r="J32" s="349">
        <f t="shared" si="1"/>
        <v>0.10241416181537363</v>
      </c>
      <c r="K32" s="13"/>
    </row>
    <row r="33" spans="1:11" ht="17.5" thickTop="1">
      <c r="A33" s="13"/>
      <c r="B33" s="13"/>
      <c r="C33" s="15" t="s">
        <v>0</v>
      </c>
      <c r="D33" s="16" t="s">
        <v>0</v>
      </c>
      <c r="E33" s="16" t="s">
        <v>65</v>
      </c>
      <c r="F33" s="425">
        <f>MAX(F17:F32)</f>
        <v>5.2490421455938699E-2</v>
      </c>
      <c r="G33" s="311">
        <f t="shared" ref="G33:J33" si="6">MAX(G17:G32)</f>
        <v>7.0000000000000007E-2</v>
      </c>
      <c r="H33" s="311">
        <f t="shared" si="6"/>
        <v>7.4999999999999997E-2</v>
      </c>
      <c r="I33" s="311">
        <f t="shared" si="6"/>
        <v>0.12249042145593871</v>
      </c>
      <c r="J33" s="311">
        <f t="shared" si="6"/>
        <v>0.1274904214559387</v>
      </c>
      <c r="K33" s="13"/>
    </row>
    <row r="34" spans="1:11" ht="17">
      <c r="A34" s="13"/>
      <c r="B34" s="13"/>
      <c r="C34" s="15"/>
      <c r="D34" s="16"/>
      <c r="E34" s="16" t="s">
        <v>66</v>
      </c>
      <c r="F34" s="426">
        <f>MIN(F17:F32)</f>
        <v>2.3184653407084855E-2</v>
      </c>
      <c r="G34" s="312">
        <f t="shared" ref="G34:J34" si="7">MIN(G17:G32)</f>
        <v>-5.0000000000000001E-3</v>
      </c>
      <c r="H34" s="312">
        <f t="shared" si="7"/>
        <v>5.0000000000000001E-3</v>
      </c>
      <c r="I34" s="312">
        <f t="shared" si="7"/>
        <v>3.5590405904059041E-2</v>
      </c>
      <c r="J34" s="312">
        <f t="shared" si="7"/>
        <v>5.1447277398952468E-2</v>
      </c>
      <c r="K34" s="13"/>
    </row>
    <row r="35" spans="1:11" ht="17">
      <c r="A35" s="13"/>
      <c r="B35" s="13"/>
      <c r="D35" s="18" t="s">
        <v>0</v>
      </c>
      <c r="E35" s="15" t="s">
        <v>18</v>
      </c>
      <c r="F35" s="57">
        <f>MEDIAN(F17:F32)</f>
        <v>4.2171142516357674E-2</v>
      </c>
      <c r="G35" s="355">
        <f>MEDIAN(G17:G32)</f>
        <v>3.7500000000000006E-2</v>
      </c>
      <c r="H35" s="355">
        <f>MEDIAN(H17:H32)</f>
        <v>0.06</v>
      </c>
      <c r="I35" s="356">
        <f>MEDIAN(I17:I32)</f>
        <v>8.2177203120666564E-2</v>
      </c>
      <c r="J35" s="356">
        <f>MEDIAN(J17:J32)</f>
        <v>0.10347484424747116</v>
      </c>
      <c r="K35" s="13"/>
    </row>
    <row r="36" spans="1:11" ht="17">
      <c r="A36" s="13"/>
      <c r="B36" s="13"/>
      <c r="D36" s="22" t="s">
        <v>0</v>
      </c>
      <c r="E36" s="15" t="s">
        <v>19</v>
      </c>
      <c r="F36" s="57">
        <f>AVERAGE(F17:F32)</f>
        <v>4.1869158737805688E-2</v>
      </c>
      <c r="G36" s="57">
        <f>AVERAGE(G17:G32)</f>
        <v>4.2812500000000003E-2</v>
      </c>
      <c r="H36" s="355">
        <f>AVERAGE(H17:H32)</f>
        <v>5.5937500000000001E-2</v>
      </c>
      <c r="I36" s="356">
        <f>AVERAGE(I17:I32)</f>
        <v>8.4681658737805671E-2</v>
      </c>
      <c r="J36" s="356">
        <f>AVERAGE(J17:J32)</f>
        <v>9.7806658737805696E-2</v>
      </c>
      <c r="K36" s="13"/>
    </row>
    <row r="37" spans="1:11" ht="17">
      <c r="A37" s="13"/>
      <c r="B37" s="13"/>
      <c r="C37" s="15"/>
      <c r="D37" s="22"/>
      <c r="E37" s="23"/>
      <c r="F37" s="19"/>
      <c r="G37" s="19"/>
      <c r="H37" s="20"/>
      <c r="I37" s="21"/>
      <c r="J37" s="21"/>
      <c r="K37" s="13"/>
    </row>
    <row r="38" spans="1:11" ht="17.5" thickBot="1">
      <c r="A38" s="13"/>
      <c r="B38" s="13"/>
      <c r="C38" s="13"/>
      <c r="D38" s="13"/>
      <c r="E38" s="13"/>
      <c r="F38" s="13"/>
      <c r="G38" s="13"/>
      <c r="H38" s="13"/>
      <c r="I38" s="13"/>
      <c r="J38" s="13"/>
      <c r="K38" s="13"/>
    </row>
    <row r="39" spans="1:11" ht="26.5" thickBot="1">
      <c r="A39" s="13"/>
      <c r="B39" s="13"/>
      <c r="C39" s="13"/>
      <c r="D39" s="13"/>
      <c r="E39" s="13"/>
      <c r="F39" s="13"/>
      <c r="G39" s="200" t="s">
        <v>216</v>
      </c>
      <c r="H39" s="202"/>
      <c r="I39" s="391">
        <v>8.4699999999999998E-2</v>
      </c>
      <c r="J39" s="13"/>
      <c r="K39" s="13"/>
    </row>
    <row r="40" spans="1:11" ht="17.5" thickBot="1">
      <c r="A40" s="13"/>
      <c r="B40" s="13"/>
      <c r="C40" s="13"/>
      <c r="D40" s="13"/>
      <c r="E40" s="13"/>
      <c r="F40" s="13"/>
      <c r="G40" s="13"/>
      <c r="H40" s="13"/>
      <c r="I40" s="13"/>
      <c r="J40" s="13"/>
      <c r="K40" s="13"/>
    </row>
    <row r="41" spans="1:11" ht="26.5" thickBot="1">
      <c r="A41" s="13"/>
      <c r="B41" s="13"/>
      <c r="C41" s="13"/>
      <c r="D41" s="13"/>
      <c r="E41" s="13"/>
      <c r="F41" s="13"/>
      <c r="G41" s="200" t="s">
        <v>215</v>
      </c>
      <c r="H41" s="203"/>
      <c r="I41" s="391">
        <v>9.7799999999999998E-2</v>
      </c>
      <c r="J41" s="13"/>
      <c r="K41" s="13"/>
    </row>
    <row r="42" spans="1:11" ht="17">
      <c r="A42" s="13"/>
      <c r="B42" s="13"/>
      <c r="C42" s="13"/>
      <c r="D42" s="13"/>
      <c r="E42" s="13"/>
      <c r="F42" s="13"/>
      <c r="G42" s="13"/>
      <c r="H42" s="13"/>
      <c r="I42" s="13"/>
      <c r="J42" s="13"/>
    </row>
    <row r="43" spans="1:11" ht="25.5">
      <c r="A43" s="25" t="s">
        <v>406</v>
      </c>
      <c r="B43" s="13"/>
      <c r="C43" s="25" t="s">
        <v>407</v>
      </c>
      <c r="D43" s="13"/>
      <c r="E43" s="13"/>
      <c r="F43" s="13"/>
      <c r="G43" s="13"/>
      <c r="H43" s="13"/>
      <c r="I43" s="13"/>
      <c r="J43" s="13"/>
    </row>
    <row r="44" spans="1:11" ht="17.5">
      <c r="A44" s="65" t="s">
        <v>408</v>
      </c>
      <c r="B44" s="13"/>
      <c r="C44" s="65" t="s">
        <v>408</v>
      </c>
      <c r="D44" s="13"/>
      <c r="E44" s="13"/>
      <c r="F44" s="13"/>
      <c r="G44" s="13"/>
      <c r="H44" s="13"/>
      <c r="I44" s="13"/>
      <c r="J44" s="13"/>
    </row>
    <row r="45" spans="1:11" ht="17.5">
      <c r="A45" s="65" t="s">
        <v>409</v>
      </c>
      <c r="B45" s="13"/>
      <c r="C45" s="65" t="s">
        <v>410</v>
      </c>
      <c r="D45" s="13"/>
      <c r="E45" s="13"/>
      <c r="F45" s="13"/>
      <c r="G45" s="13"/>
      <c r="H45" s="13"/>
      <c r="I45" s="13"/>
      <c r="J45" s="13"/>
    </row>
    <row r="46" spans="1:11" ht="17">
      <c r="A46" s="45"/>
      <c r="B46" s="13"/>
      <c r="C46" s="45"/>
      <c r="D46" s="13"/>
      <c r="E46" s="13"/>
      <c r="F46" s="13"/>
      <c r="G46" s="13"/>
      <c r="H46" s="13"/>
      <c r="I46" s="13"/>
      <c r="J46" s="13"/>
    </row>
    <row r="47" spans="1:11" ht="17">
      <c r="A47" s="45"/>
      <c r="B47" s="13"/>
      <c r="C47" s="45"/>
      <c r="D47" s="13"/>
      <c r="E47" s="13"/>
      <c r="F47" s="13"/>
      <c r="G47" s="13"/>
      <c r="H47" s="13"/>
      <c r="I47" s="13"/>
      <c r="J47" s="13"/>
    </row>
    <row r="48" spans="1:11" ht="25.5">
      <c r="A48" s="25" t="s">
        <v>239</v>
      </c>
      <c r="B48" s="13"/>
      <c r="C48" s="25" t="s">
        <v>239</v>
      </c>
      <c r="D48" s="13"/>
      <c r="E48" s="13"/>
      <c r="F48" s="13"/>
      <c r="G48" s="13"/>
      <c r="H48" s="13"/>
      <c r="I48" s="13"/>
      <c r="J48" s="13"/>
    </row>
    <row r="49" spans="1:10" ht="17">
      <c r="A49" s="45"/>
      <c r="B49" s="13"/>
      <c r="C49" s="45"/>
      <c r="D49" s="13"/>
      <c r="E49" s="13"/>
      <c r="F49" s="13"/>
      <c r="H49" s="13"/>
      <c r="I49" s="13"/>
      <c r="J49" s="13"/>
    </row>
    <row r="50" spans="1:10" ht="17.5">
      <c r="A50" s="65" t="s">
        <v>240</v>
      </c>
      <c r="B50" s="13"/>
      <c r="C50" s="65" t="s">
        <v>240</v>
      </c>
      <c r="D50" s="13"/>
      <c r="E50" s="13"/>
      <c r="F50" s="13"/>
      <c r="G50" s="13"/>
      <c r="H50" s="13"/>
      <c r="I50" s="13"/>
      <c r="J50" s="13"/>
    </row>
    <row r="51" spans="1:10" ht="17.5">
      <c r="A51" s="65" t="s">
        <v>238</v>
      </c>
      <c r="B51" s="13"/>
      <c r="C51" s="65" t="s">
        <v>238</v>
      </c>
      <c r="D51" s="13"/>
      <c r="E51" s="13"/>
      <c r="F51" s="13"/>
      <c r="G51" s="13"/>
      <c r="H51" s="13"/>
      <c r="I51" s="13"/>
      <c r="J51" s="13"/>
    </row>
    <row r="52" spans="1:10" ht="17.5">
      <c r="A52" s="65" t="s">
        <v>241</v>
      </c>
      <c r="B52" s="13"/>
      <c r="C52" s="65" t="s">
        <v>241</v>
      </c>
      <c r="D52" s="13"/>
      <c r="E52" s="13"/>
      <c r="F52" s="13"/>
      <c r="G52" s="13"/>
      <c r="H52" s="13"/>
      <c r="I52" s="13"/>
      <c r="J52" s="13"/>
    </row>
    <row r="53" spans="1:10" ht="17.5">
      <c r="A53" s="65" t="s">
        <v>411</v>
      </c>
      <c r="B53" s="13"/>
      <c r="C53" s="65" t="s">
        <v>412</v>
      </c>
      <c r="D53" s="13"/>
      <c r="E53" s="13"/>
      <c r="F53" s="13"/>
      <c r="G53" s="13"/>
      <c r="H53" s="13"/>
      <c r="I53" s="13"/>
      <c r="J53" s="13"/>
    </row>
    <row r="54" spans="1:10" ht="17.5">
      <c r="A54" s="65"/>
      <c r="B54" s="13"/>
      <c r="C54" s="65"/>
      <c r="D54" s="13"/>
      <c r="E54" s="13"/>
      <c r="F54" s="13"/>
      <c r="G54" s="13"/>
      <c r="H54" s="13"/>
      <c r="I54" s="13"/>
      <c r="J54" s="13"/>
    </row>
    <row r="55" spans="1:10" ht="17.5">
      <c r="A55" s="65"/>
      <c r="B55" s="13"/>
      <c r="C55" s="65"/>
      <c r="D55" s="13"/>
      <c r="E55" s="13"/>
      <c r="F55" s="13"/>
      <c r="G55" s="13"/>
      <c r="H55" s="13"/>
      <c r="I55" s="13"/>
      <c r="J55" s="13"/>
    </row>
  </sheetData>
  <pageMargins left="0.25" right="0.25" top="0.75" bottom="0.75" header="0.3" footer="0.3"/>
  <pageSetup scale="4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22"/>
  <sheetViews>
    <sheetView view="pageBreakPreview" topLeftCell="A11" zoomScale="70" zoomScaleNormal="80" zoomScaleSheetLayoutView="70" workbookViewId="0">
      <selection activeCell="H48" sqref="H48"/>
    </sheetView>
  </sheetViews>
  <sheetFormatPr defaultRowHeight="14.5"/>
  <cols>
    <col min="1" max="1" width="47.81640625" customWidth="1"/>
    <col min="2" max="2" width="15.26953125" customWidth="1"/>
    <col min="3" max="3" width="24.54296875" customWidth="1"/>
    <col min="4" max="4" width="26.54296875" customWidth="1"/>
    <col min="5" max="5" width="33" customWidth="1"/>
    <col min="6" max="6" width="22.453125" customWidth="1"/>
    <col min="7" max="7" width="27" customWidth="1"/>
    <col min="8" max="8" width="43" customWidth="1"/>
    <col min="9" max="9" width="15.26953125" customWidth="1"/>
    <col min="10" max="10" width="24.54296875" customWidth="1"/>
    <col min="11" max="11" width="24.1796875" customWidth="1"/>
    <col min="13" max="13" width="10.54296875" customWidth="1"/>
  </cols>
  <sheetData>
    <row r="1" spans="1:9" ht="25.5">
      <c r="A1" s="25" t="s">
        <v>1</v>
      </c>
      <c r="B1" s="13"/>
      <c r="C1" s="13"/>
      <c r="D1" s="13"/>
      <c r="E1" s="13"/>
      <c r="F1" s="13"/>
      <c r="G1" s="13"/>
      <c r="H1" s="13"/>
      <c r="I1" s="13"/>
    </row>
    <row r="2" spans="1:9" ht="17.5">
      <c r="A2" s="26" t="s">
        <v>9</v>
      </c>
      <c r="B2" s="13"/>
      <c r="C2" s="13"/>
      <c r="D2" s="13"/>
      <c r="E2" s="13"/>
      <c r="F2" s="13"/>
      <c r="G2" s="13"/>
      <c r="H2" s="13"/>
      <c r="I2" s="13"/>
    </row>
    <row r="3" spans="1:9" ht="17">
      <c r="A3" s="27" t="s">
        <v>483</v>
      </c>
      <c r="B3" s="13"/>
      <c r="C3" s="13"/>
      <c r="D3" s="13"/>
      <c r="E3" s="13"/>
      <c r="F3" s="13"/>
      <c r="G3" s="13"/>
      <c r="H3" s="13"/>
      <c r="I3" s="13"/>
    </row>
    <row r="4" spans="1:9" ht="17">
      <c r="A4" s="27"/>
      <c r="B4" s="13"/>
      <c r="C4" s="13"/>
      <c r="D4" s="13"/>
      <c r="E4" s="13"/>
      <c r="F4" s="13"/>
      <c r="G4" s="13"/>
      <c r="H4" s="13"/>
      <c r="I4" s="13"/>
    </row>
    <row r="5" spans="1:9" ht="17.5" thickBot="1">
      <c r="A5" s="13"/>
      <c r="B5" s="13"/>
      <c r="C5" s="13"/>
      <c r="D5" s="13"/>
      <c r="E5" s="13"/>
      <c r="F5" s="13"/>
      <c r="G5" s="13"/>
      <c r="H5" s="13"/>
      <c r="I5" s="28"/>
    </row>
    <row r="6" spans="1:9" ht="21.5" thickBot="1">
      <c r="A6" s="275" t="str">
        <f>+'S&amp;D'!A12</f>
        <v>Electric Utilities</v>
      </c>
      <c r="B6" s="203"/>
      <c r="C6" s="13"/>
      <c r="D6" s="13"/>
      <c r="E6" s="13"/>
      <c r="F6" s="13"/>
      <c r="G6" s="13"/>
      <c r="H6" s="13"/>
      <c r="I6" s="13"/>
    </row>
    <row r="7" spans="1:9" ht="21">
      <c r="A7" s="32"/>
      <c r="B7" s="13"/>
      <c r="C7" s="13"/>
      <c r="D7" s="13"/>
      <c r="E7" s="13"/>
      <c r="F7" s="13"/>
      <c r="G7" s="13"/>
      <c r="H7" s="13"/>
      <c r="I7" s="13"/>
    </row>
    <row r="8" spans="1:9" ht="21.5" thickBot="1">
      <c r="A8" s="32"/>
      <c r="B8" s="13"/>
      <c r="C8" s="13"/>
      <c r="D8" s="30"/>
      <c r="E8" s="30"/>
      <c r="F8" s="30"/>
      <c r="G8" s="13"/>
      <c r="H8" s="13"/>
      <c r="I8" s="13"/>
    </row>
    <row r="9" spans="1:9" ht="25.5">
      <c r="A9" s="32"/>
      <c r="B9" s="13"/>
      <c r="C9" s="13"/>
      <c r="D9" s="13"/>
      <c r="E9" s="33" t="s">
        <v>217</v>
      </c>
      <c r="F9" s="13"/>
      <c r="G9" s="13"/>
      <c r="H9" s="13"/>
      <c r="I9" s="13"/>
    </row>
    <row r="10" spans="1:9" ht="21.5" thickBot="1">
      <c r="A10" s="32"/>
      <c r="B10" s="13"/>
      <c r="C10" s="13"/>
      <c r="D10" s="30"/>
      <c r="E10" s="34" t="s">
        <v>484</v>
      </c>
      <c r="F10" s="30"/>
      <c r="G10" s="13"/>
      <c r="H10" s="13"/>
      <c r="I10" s="13"/>
    </row>
    <row r="11" spans="1:9" ht="21">
      <c r="A11" s="32"/>
      <c r="B11" s="13"/>
      <c r="C11" s="13"/>
      <c r="D11" s="13"/>
      <c r="E11" s="13"/>
      <c r="F11" s="36"/>
      <c r="G11" s="36"/>
      <c r="H11" s="13"/>
      <c r="I11" s="13"/>
    </row>
    <row r="12" spans="1:9" ht="21">
      <c r="A12" s="32"/>
      <c r="B12" s="13"/>
      <c r="C12" s="13"/>
      <c r="D12" s="13"/>
      <c r="E12" s="13"/>
      <c r="F12" s="36"/>
      <c r="G12" s="36"/>
      <c r="H12" s="13"/>
      <c r="I12" s="13"/>
    </row>
    <row r="13" spans="1:9" ht="45.75" customHeight="1" thickBot="1">
      <c r="A13" s="35" t="s">
        <v>0</v>
      </c>
      <c r="B13" s="35" t="s">
        <v>0</v>
      </c>
      <c r="C13" s="35" t="s">
        <v>0</v>
      </c>
      <c r="D13" s="30"/>
      <c r="E13" s="30"/>
      <c r="F13" s="35" t="s">
        <v>0</v>
      </c>
      <c r="G13" s="35"/>
      <c r="H13" s="35"/>
      <c r="I13" s="13"/>
    </row>
    <row r="14" spans="1:9" ht="17">
      <c r="A14" s="36" t="s">
        <v>0</v>
      </c>
      <c r="B14" s="36" t="s">
        <v>3</v>
      </c>
      <c r="C14" s="36" t="s">
        <v>5</v>
      </c>
      <c r="D14" s="36" t="s">
        <v>213</v>
      </c>
      <c r="E14" s="36" t="s">
        <v>214</v>
      </c>
      <c r="F14" s="36" t="s">
        <v>218</v>
      </c>
      <c r="G14" s="36" t="s">
        <v>19</v>
      </c>
      <c r="H14" s="36" t="s">
        <v>220</v>
      </c>
      <c r="I14" s="13"/>
    </row>
    <row r="15" spans="1:9" ht="17">
      <c r="A15" s="36" t="s">
        <v>2</v>
      </c>
      <c r="B15" s="36" t="s">
        <v>4</v>
      </c>
      <c r="C15" s="36" t="s">
        <v>6</v>
      </c>
      <c r="D15" s="36" t="s">
        <v>428</v>
      </c>
      <c r="E15" s="36" t="s">
        <v>430</v>
      </c>
      <c r="F15" s="36" t="s">
        <v>162</v>
      </c>
      <c r="G15" s="36" t="s">
        <v>219</v>
      </c>
      <c r="H15" s="36" t="s">
        <v>209</v>
      </c>
      <c r="I15" s="13"/>
    </row>
    <row r="16" spans="1:9" ht="17">
      <c r="A16" s="36"/>
      <c r="B16" s="36" t="s">
        <v>0</v>
      </c>
      <c r="C16" s="36" t="s">
        <v>0</v>
      </c>
      <c r="D16" s="36" t="s">
        <v>0</v>
      </c>
      <c r="E16" s="37" t="s">
        <v>429</v>
      </c>
      <c r="F16" s="37" t="s">
        <v>0</v>
      </c>
      <c r="G16" s="36" t="s">
        <v>224</v>
      </c>
      <c r="H16" s="37" t="s">
        <v>225</v>
      </c>
      <c r="I16" s="13"/>
    </row>
    <row r="17" spans="1:11" ht="18" customHeight="1" thickBot="1">
      <c r="A17" s="69" t="s">
        <v>0</v>
      </c>
      <c r="B17" s="39" t="s">
        <v>0</v>
      </c>
      <c r="C17" s="39" t="s">
        <v>0</v>
      </c>
      <c r="D17" s="34" t="s">
        <v>222</v>
      </c>
      <c r="E17" s="34" t="s">
        <v>223</v>
      </c>
      <c r="F17" s="34" t="s">
        <v>221</v>
      </c>
      <c r="G17" s="36" t="s">
        <v>128</v>
      </c>
      <c r="H17" s="155"/>
      <c r="I17" s="13"/>
    </row>
    <row r="18" spans="1:11" ht="17">
      <c r="A18" s="40" t="s">
        <v>0</v>
      </c>
      <c r="B18" s="40" t="s">
        <v>0</v>
      </c>
      <c r="C18" s="40" t="s">
        <v>0</v>
      </c>
      <c r="D18" s="40" t="s">
        <v>7</v>
      </c>
      <c r="E18" s="40" t="s">
        <v>7</v>
      </c>
      <c r="F18" s="40" t="s">
        <v>0</v>
      </c>
      <c r="G18" s="70" t="s">
        <v>0</v>
      </c>
      <c r="H18" s="40" t="s">
        <v>0</v>
      </c>
      <c r="I18" s="13"/>
    </row>
    <row r="19" spans="1:11" ht="17">
      <c r="A19" s="36"/>
      <c r="B19" s="36"/>
      <c r="C19" s="36"/>
      <c r="D19" s="36"/>
      <c r="E19" s="13"/>
      <c r="F19" s="36"/>
      <c r="G19" s="13"/>
      <c r="H19" s="13"/>
      <c r="I19" s="13"/>
      <c r="J19" t="s">
        <v>0</v>
      </c>
      <c r="K19" t="s">
        <v>0</v>
      </c>
    </row>
    <row r="20" spans="1:11" ht="17">
      <c r="A20" s="13"/>
      <c r="B20" s="13"/>
      <c r="C20" s="13"/>
      <c r="D20" s="13"/>
      <c r="E20" s="13"/>
      <c r="F20" s="13"/>
      <c r="G20" s="13"/>
      <c r="H20" s="13" t="s">
        <v>0</v>
      </c>
      <c r="I20" s="13"/>
      <c r="J20" t="s">
        <v>0</v>
      </c>
      <c r="K20" t="s">
        <v>0</v>
      </c>
    </row>
    <row r="21" spans="1:11" ht="17">
      <c r="A21" s="45" t="str">
        <f>+'S&amp;D'!A22</f>
        <v>ALLETE Inc</v>
      </c>
      <c r="B21" s="36" t="str">
        <f>+'S&amp;D'!B22</f>
        <v>ALE</v>
      </c>
      <c r="C21" s="36" t="str">
        <f>+'S&amp;D'!C22</f>
        <v>Electric Utility - Cent</v>
      </c>
      <c r="D21" s="68">
        <f>+'Single Stage Div Growth Model'!F17</f>
        <v>4.7907128842380645E-2</v>
      </c>
      <c r="E21" s="68">
        <f>+'Single Stage Div Growth Model'!H17</f>
        <v>0.06</v>
      </c>
      <c r="F21" s="68">
        <f>+'Growth &amp; Inflation Rates'!F93</f>
        <v>4.1099999999999998E-2</v>
      </c>
      <c r="G21" s="68">
        <f t="shared" ref="G21" si="0">(F21+E21)/2</f>
        <v>5.0549999999999998E-2</v>
      </c>
      <c r="H21" s="68">
        <f>D21*(1+(0.5*G21))+(0.67*E21)+(0.33*F21)</f>
        <v>0.10288098152387182</v>
      </c>
      <c r="I21" s="13"/>
      <c r="J21" t="s">
        <v>0</v>
      </c>
      <c r="K21" t="s">
        <v>0</v>
      </c>
    </row>
    <row r="22" spans="1:11" ht="17">
      <c r="A22" s="45" t="str">
        <f>+'S&amp;D'!A23</f>
        <v>Alliant Energy</v>
      </c>
      <c r="B22" s="36" t="str">
        <f>+'S&amp;D'!B23</f>
        <v>LNT</v>
      </c>
      <c r="C22" s="36" t="str">
        <f>+'S&amp;D'!C23</f>
        <v>Electric Utility - Cent</v>
      </c>
      <c r="D22" s="68">
        <f>+'Single Stage Div Growth Model'!F18</f>
        <v>3.9766081871345033E-2</v>
      </c>
      <c r="E22" s="68">
        <f>+'Single Stage Div Growth Model'!H18</f>
        <v>6.5000000000000002E-2</v>
      </c>
      <c r="F22" s="68">
        <f>+F21</f>
        <v>4.1099999999999998E-2</v>
      </c>
      <c r="G22" s="68">
        <f t="shared" ref="G22:G36" si="1">(F22+E22)/2</f>
        <v>5.305E-2</v>
      </c>
      <c r="H22" s="68">
        <f t="shared" ref="H22:H36" si="2">D22*(1+(0.5*G22))+(0.67*E22)+(0.33*F22)</f>
        <v>9.7933877192982466E-2</v>
      </c>
      <c r="I22" s="13"/>
      <c r="J22" t="s">
        <v>0</v>
      </c>
      <c r="K22" t="s">
        <v>0</v>
      </c>
    </row>
    <row r="23" spans="1:11" ht="17">
      <c r="A23" s="45" t="str">
        <f>+'S&amp;D'!A24</f>
        <v>AMEREN Corporation</v>
      </c>
      <c r="B23" s="36" t="str">
        <f>+'S&amp;D'!B24</f>
        <v>AEE</v>
      </c>
      <c r="C23" s="36" t="str">
        <f>+'S&amp;D'!C24</f>
        <v>Electric Utility - Cent</v>
      </c>
      <c r="D23" s="68">
        <f>+'Single Stage Div Growth Model'!F19</f>
        <v>3.9535526679568701E-2</v>
      </c>
      <c r="E23" s="68">
        <f>+'Single Stage Div Growth Model'!H19</f>
        <v>6.5000000000000002E-2</v>
      </c>
      <c r="F23" s="68">
        <f>+F21</f>
        <v>4.1099999999999998E-2</v>
      </c>
      <c r="G23" s="68">
        <f t="shared" si="1"/>
        <v>5.305E-2</v>
      </c>
      <c r="H23" s="68">
        <f t="shared" si="2"/>
        <v>9.7697206524744271E-2</v>
      </c>
      <c r="I23" s="13"/>
      <c r="J23" t="s">
        <v>0</v>
      </c>
      <c r="K23" t="s">
        <v>0</v>
      </c>
    </row>
    <row r="24" spans="1:11" ht="17">
      <c r="A24" s="45" t="str">
        <f>+'S&amp;D'!A25</f>
        <v>American Electric Power</v>
      </c>
      <c r="B24" s="36" t="str">
        <f>+'S&amp;D'!B25</f>
        <v>AEP</v>
      </c>
      <c r="C24" s="36" t="str">
        <f>+'S&amp;D'!C25</f>
        <v>Electric Utility - Cent</v>
      </c>
      <c r="D24" s="68">
        <f>+'Single Stage Div Growth Model'!F20</f>
        <v>4.6909628170401382E-2</v>
      </c>
      <c r="E24" s="68">
        <f>+'Single Stage Div Growth Model'!H20</f>
        <v>6.5000000000000002E-2</v>
      </c>
      <c r="F24" s="68">
        <f>+F21</f>
        <v>4.1099999999999998E-2</v>
      </c>
      <c r="G24" s="68">
        <f t="shared" si="1"/>
        <v>5.305E-2</v>
      </c>
      <c r="H24" s="68">
        <f t="shared" si="2"/>
        <v>0.10526690605762128</v>
      </c>
      <c r="I24" s="13"/>
      <c r="J24" t="s">
        <v>0</v>
      </c>
      <c r="K24" t="s">
        <v>0</v>
      </c>
    </row>
    <row r="25" spans="1:11" ht="17">
      <c r="A25" s="45" t="str">
        <f>+'S&amp;D'!A26</f>
        <v>Centerpoint Energy</v>
      </c>
      <c r="B25" s="36" t="str">
        <f>+'S&amp;D'!B26</f>
        <v>CNP</v>
      </c>
      <c r="C25" s="36" t="str">
        <f>+'S&amp;D'!C26</f>
        <v>Electric Utility - Cent</v>
      </c>
      <c r="D25" s="68">
        <f>+'Single Stage Div Growth Model'!F21</f>
        <v>3.1151557577878894E-2</v>
      </c>
      <c r="E25" s="68">
        <f>+'Single Stage Div Growth Model'!H21</f>
        <v>0.06</v>
      </c>
      <c r="F25" s="68">
        <f>+F21</f>
        <v>4.1099999999999998E-2</v>
      </c>
      <c r="G25" s="68">
        <f t="shared" si="1"/>
        <v>5.0549999999999998E-2</v>
      </c>
      <c r="H25" s="68">
        <f t="shared" si="2"/>
        <v>8.5701913195659785E-2</v>
      </c>
      <c r="I25" s="13"/>
      <c r="J25" t="s">
        <v>0</v>
      </c>
      <c r="K25" t="s">
        <v>0</v>
      </c>
    </row>
    <row r="26" spans="1:11" ht="17">
      <c r="A26" s="45" t="str">
        <f>+'S&amp;D'!A27</f>
        <v>CMS Energy</v>
      </c>
      <c r="B26" s="36" t="str">
        <f>+'S&amp;D'!B27</f>
        <v>CMS</v>
      </c>
      <c r="C26" s="36" t="str">
        <f>+'S&amp;D'!C27</f>
        <v>Electric Utility - Cent</v>
      </c>
      <c r="D26" s="68">
        <f>+'Single Stage Div Growth Model'!F22</f>
        <v>3.719648699845015E-2</v>
      </c>
      <c r="E26" s="68">
        <f>+'Single Stage Div Growth Model'!H22</f>
        <v>0.05</v>
      </c>
      <c r="F26" s="68">
        <f>+F21</f>
        <v>4.1099999999999998E-2</v>
      </c>
      <c r="G26" s="68">
        <f t="shared" si="1"/>
        <v>4.555E-2</v>
      </c>
      <c r="H26" s="68">
        <f t="shared" si="2"/>
        <v>8.5106636989839862E-2</v>
      </c>
      <c r="I26" s="13"/>
      <c r="J26" s="12" t="s">
        <v>0</v>
      </c>
      <c r="K26" t="s">
        <v>0</v>
      </c>
    </row>
    <row r="27" spans="1:11" ht="17">
      <c r="A27" s="45" t="str">
        <f>+'S&amp;D'!A28</f>
        <v>DTE Energy</v>
      </c>
      <c r="B27" s="36" t="str">
        <f>+'S&amp;D'!B28</f>
        <v>DTE</v>
      </c>
      <c r="C27" s="36" t="str">
        <f>+'S&amp;D'!C28</f>
        <v>Electric Utility - Cent</v>
      </c>
      <c r="D27" s="68">
        <f>+'Single Stage Div Growth Model'!F23</f>
        <v>3.9361509160166876E-2</v>
      </c>
      <c r="E27" s="68">
        <f>+'Single Stage Div Growth Model'!H23</f>
        <v>4.4999999999999998E-2</v>
      </c>
      <c r="F27" s="68">
        <f>+F21</f>
        <v>4.1099999999999998E-2</v>
      </c>
      <c r="G27" s="68">
        <f t="shared" si="1"/>
        <v>4.3049999999999998E-2</v>
      </c>
      <c r="H27" s="68">
        <f t="shared" si="2"/>
        <v>8.3921765644839469E-2</v>
      </c>
      <c r="I27" s="13"/>
      <c r="J27" s="12" t="s">
        <v>0</v>
      </c>
    </row>
    <row r="28" spans="1:11" ht="17">
      <c r="A28" s="45" t="str">
        <f>+'S&amp;D'!A29</f>
        <v>Duke Energy</v>
      </c>
      <c r="B28" s="36" t="str">
        <f>+'S&amp;D'!B29</f>
        <v>DUK</v>
      </c>
      <c r="C28" s="36" t="str">
        <f>+'S&amp;D'!C29</f>
        <v>Electric Utility - East</v>
      </c>
      <c r="D28" s="68">
        <f>+'Single Stage Div Growth Model'!F24</f>
        <v>4.3487221764220936E-2</v>
      </c>
      <c r="E28" s="68">
        <f>+'Single Stage Div Growth Model'!H24</f>
        <v>0.05</v>
      </c>
      <c r="F28" s="68">
        <f>+F21</f>
        <v>4.1099999999999998E-2</v>
      </c>
      <c r="G28" s="68">
        <f t="shared" si="1"/>
        <v>4.555E-2</v>
      </c>
      <c r="H28" s="68">
        <f t="shared" si="2"/>
        <v>9.1540643239901076E-2</v>
      </c>
      <c r="I28" s="13"/>
      <c r="J28" t="s">
        <v>0</v>
      </c>
    </row>
    <row r="29" spans="1:11" ht="17">
      <c r="A29" s="45" t="str">
        <f>+'S&amp;D'!A30</f>
        <v>Entergy Corp</v>
      </c>
      <c r="B29" s="36" t="str">
        <f>+'S&amp;D'!B30</f>
        <v>ETR</v>
      </c>
      <c r="C29" s="36" t="str">
        <f>+'S&amp;D'!C30</f>
        <v>Electric Utility - Cent</v>
      </c>
      <c r="D29" s="68">
        <f>+'Single Stage Div Growth Model'!F25</f>
        <v>4.644727739895247E-2</v>
      </c>
      <c r="E29" s="68">
        <f>+'Single Stage Div Growth Model'!H25</f>
        <v>5.0000000000000001E-3</v>
      </c>
      <c r="F29" s="68">
        <f>+F21</f>
        <v>4.1099999999999998E-2</v>
      </c>
      <c r="G29" s="68">
        <f t="shared" si="1"/>
        <v>2.3049999999999998E-2</v>
      </c>
      <c r="H29" s="68">
        <f t="shared" si="2"/>
        <v>6.3895582270975401E-2</v>
      </c>
      <c r="I29" s="13"/>
    </row>
    <row r="30" spans="1:11" ht="17">
      <c r="A30" s="45" t="str">
        <f>+'S&amp;D'!A31</f>
        <v>Evergy Inc</v>
      </c>
      <c r="B30" s="36" t="str">
        <f>+'S&amp;D'!B31</f>
        <v>EVRG</v>
      </c>
      <c r="C30" s="36" t="str">
        <f>+'S&amp;D'!C31</f>
        <v>Electric Utility - Cent</v>
      </c>
      <c r="D30" s="68">
        <f>+'Single Stage Div Growth Model'!F26</f>
        <v>5.2490421455938699E-2</v>
      </c>
      <c r="E30" s="68">
        <f>+'Single Stage Div Growth Model'!H26</f>
        <v>7.4999999999999997E-2</v>
      </c>
      <c r="F30" s="68">
        <f>+F21</f>
        <v>4.1099999999999998E-2</v>
      </c>
      <c r="G30" s="68">
        <f t="shared" si="1"/>
        <v>5.8049999999999997E-2</v>
      </c>
      <c r="H30" s="68">
        <f t="shared" si="2"/>
        <v>0.11782695593869734</v>
      </c>
      <c r="I30" s="13"/>
    </row>
    <row r="31" spans="1:11" ht="17">
      <c r="A31" s="45" t="str">
        <f>+'S&amp;D'!A32</f>
        <v>FirstEnergy Corp</v>
      </c>
      <c r="B31" s="36" t="str">
        <f>+'S&amp;D'!B32</f>
        <v>FE</v>
      </c>
      <c r="C31" s="36" t="str">
        <f>+'S&amp;D'!C32</f>
        <v>Electric Utility - East</v>
      </c>
      <c r="D31" s="68">
        <f>+'Single Stage Div Growth Model'!F27</f>
        <v>4.8008728859792696E-2</v>
      </c>
      <c r="E31" s="68">
        <f>+'Single Stage Div Growth Model'!H27</f>
        <v>4.4999999999999998E-2</v>
      </c>
      <c r="F31" s="68">
        <f>+F21</f>
        <v>4.1099999999999998E-2</v>
      </c>
      <c r="G31" s="68">
        <f t="shared" si="1"/>
        <v>4.3049999999999998E-2</v>
      </c>
      <c r="H31" s="68">
        <f t="shared" si="2"/>
        <v>9.2755116748499733E-2</v>
      </c>
      <c r="I31" s="13"/>
    </row>
    <row r="32" spans="1:11" ht="17">
      <c r="A32" s="45" t="str">
        <f>+'S&amp;D'!A33</f>
        <v>OGE Energy Corp.</v>
      </c>
      <c r="B32" s="36" t="str">
        <f>+'S&amp;D'!B33</f>
        <v>OGE</v>
      </c>
      <c r="C32" s="36" t="str">
        <f>+'S&amp;D'!C33</f>
        <v>Electric Utility - Cent</v>
      </c>
      <c r="D32" s="68">
        <f>+'Single Stage Div Growth Model'!F28</f>
        <v>4.9527626681935298E-2</v>
      </c>
      <c r="E32" s="68">
        <f>+'Single Stage Div Growth Model'!H28</f>
        <v>6.5000000000000002E-2</v>
      </c>
      <c r="F32" s="68">
        <f>+F21</f>
        <v>4.1099999999999998E-2</v>
      </c>
      <c r="G32" s="68">
        <f t="shared" si="1"/>
        <v>5.305E-2</v>
      </c>
      <c r="H32" s="68">
        <f t="shared" si="2"/>
        <v>0.10795434697967364</v>
      </c>
      <c r="I32" s="13"/>
    </row>
    <row r="33" spans="1:9" ht="17">
      <c r="A33" s="45" t="str">
        <f>+'S&amp;D'!A34</f>
        <v>Otter Tail Corp</v>
      </c>
      <c r="B33" s="36" t="str">
        <f>+'S&amp;D'!B34</f>
        <v>OTTR</v>
      </c>
      <c r="C33" s="36" t="str">
        <f>+'S&amp;D'!C34</f>
        <v>Electric Utility - Cent</v>
      </c>
      <c r="D33" s="68">
        <f>+'Single Stage Div Growth Model'!F29</f>
        <v>2.3184653407084855E-2</v>
      </c>
      <c r="E33" s="68">
        <f>+'Single Stage Div Growth Model'!H29</f>
        <v>4.4999999999999998E-2</v>
      </c>
      <c r="F33" s="68">
        <f>+F21</f>
        <v>4.1099999999999998E-2</v>
      </c>
      <c r="G33" s="68">
        <f t="shared" si="1"/>
        <v>4.3049999999999998E-2</v>
      </c>
      <c r="H33" s="68">
        <f t="shared" si="2"/>
        <v>6.7396703071672365E-2</v>
      </c>
      <c r="I33" s="13"/>
    </row>
    <row r="34" spans="1:9" ht="17">
      <c r="A34" s="45" t="str">
        <f>+'S&amp;D'!A35</f>
        <v>PPL Corporation</v>
      </c>
      <c r="B34" s="36" t="str">
        <f>+'S&amp;D'!B35</f>
        <v>PPL</v>
      </c>
      <c r="C34" s="36" t="str">
        <f>+'S&amp;D'!C35</f>
        <v>Electric Utility - East</v>
      </c>
      <c r="D34" s="68">
        <f>+'Single Stage Div Growth Model'!F30</f>
        <v>4.0590405904059039E-2</v>
      </c>
      <c r="E34" s="68">
        <f>+'Single Stage Div Growth Model'!H30</f>
        <v>7.4999999999999997E-2</v>
      </c>
      <c r="F34" s="68">
        <f>+F21</f>
        <v>4.1099999999999998E-2</v>
      </c>
      <c r="G34" s="68">
        <f t="shared" si="1"/>
        <v>5.8049999999999997E-2</v>
      </c>
      <c r="H34" s="68">
        <f t="shared" si="2"/>
        <v>0.10558154243542436</v>
      </c>
      <c r="I34" s="13"/>
    </row>
    <row r="35" spans="1:9" ht="17">
      <c r="A35" s="45" t="str">
        <f>+'S&amp;D'!A36</f>
        <v>The Southern Company</v>
      </c>
      <c r="B35" s="36" t="str">
        <f>+'S&amp;D'!B36</f>
        <v>SO</v>
      </c>
      <c r="C35" s="36" t="str">
        <f>+'S&amp;D'!C36</f>
        <v>Electric Utility - East</v>
      </c>
      <c r="D35" s="68">
        <f>+'Single Stage Div Growth Model'!F31</f>
        <v>4.1928123217341698E-2</v>
      </c>
      <c r="E35" s="68">
        <f>+'Single Stage Div Growth Model'!H31</f>
        <v>6.5000000000000002E-2</v>
      </c>
      <c r="F35" s="68">
        <f>+F21</f>
        <v>4.1099999999999998E-2</v>
      </c>
      <c r="G35" s="68">
        <f t="shared" si="1"/>
        <v>5.305E-2</v>
      </c>
      <c r="H35" s="68">
        <f t="shared" si="2"/>
        <v>0.1001532666856817</v>
      </c>
      <c r="I35" s="13"/>
    </row>
    <row r="36" spans="1:9" ht="17.5" thickBot="1">
      <c r="A36" s="45" t="str">
        <f>+'S&amp;D'!A37</f>
        <v>WEC Energy Group</v>
      </c>
      <c r="B36" s="36" t="str">
        <f>+'S&amp;D'!B37</f>
        <v>WEC</v>
      </c>
      <c r="C36" s="36" t="str">
        <f>+'S&amp;D'!C37</f>
        <v>Electric Utility - Cent</v>
      </c>
      <c r="D36" s="68">
        <f>+'Single Stage Div Growth Model'!F32</f>
        <v>4.2414161815373642E-2</v>
      </c>
      <c r="E36" s="68">
        <f>+'Single Stage Div Growth Model'!H32</f>
        <v>0.06</v>
      </c>
      <c r="F36" s="68">
        <f>+F21</f>
        <v>4.1099999999999998E-2</v>
      </c>
      <c r="G36" s="68">
        <f t="shared" si="1"/>
        <v>5.0549999999999998E-2</v>
      </c>
      <c r="H36" s="150">
        <f t="shared" si="2"/>
        <v>9.7249179755257223E-2</v>
      </c>
      <c r="I36" s="13"/>
    </row>
    <row r="37" spans="1:9" ht="17.5" thickTop="1">
      <c r="A37" s="13"/>
      <c r="B37" s="13"/>
      <c r="C37" s="13"/>
      <c r="D37" s="13"/>
      <c r="E37" s="13"/>
      <c r="F37" s="13"/>
      <c r="G37" s="194" t="s">
        <v>65</v>
      </c>
      <c r="H37" s="58">
        <f>MAX(H21:H36)</f>
        <v>0.11782695593869734</v>
      </c>
      <c r="I37" s="13"/>
    </row>
    <row r="38" spans="1:9" ht="17">
      <c r="A38" s="13"/>
      <c r="B38" s="13"/>
      <c r="C38" s="15" t="s">
        <v>0</v>
      </c>
      <c r="D38" s="16" t="s">
        <v>0</v>
      </c>
      <c r="E38" s="16" t="s">
        <v>0</v>
      </c>
      <c r="F38" s="17" t="s">
        <v>0</v>
      </c>
      <c r="G38" s="17" t="s">
        <v>66</v>
      </c>
      <c r="H38" s="303">
        <f>MIN(H21:H36)</f>
        <v>6.3895582270975401E-2</v>
      </c>
      <c r="I38" s="13"/>
    </row>
    <row r="39" spans="1:9" ht="17">
      <c r="A39" s="13"/>
      <c r="B39" s="13"/>
      <c r="D39" s="58" t="s">
        <v>0</v>
      </c>
      <c r="E39" s="52" t="s">
        <v>0</v>
      </c>
      <c r="F39" s="52" t="s">
        <v>0</v>
      </c>
      <c r="G39" s="15" t="s">
        <v>18</v>
      </c>
      <c r="H39" s="53">
        <f>MEDIAN(H21:H36)</f>
        <v>9.7473193140000747E-2</v>
      </c>
      <c r="I39" s="13"/>
    </row>
    <row r="40" spans="1:9" ht="17">
      <c r="A40" s="13"/>
      <c r="B40" s="13"/>
      <c r="D40" s="58" t="s">
        <v>0</v>
      </c>
      <c r="E40" s="52" t="s">
        <v>0</v>
      </c>
      <c r="F40" s="58" t="s">
        <v>0</v>
      </c>
      <c r="G40" s="15" t="s">
        <v>19</v>
      </c>
      <c r="H40" s="53">
        <f>AVERAGE(H21:H36)</f>
        <v>9.3928914015958848E-2</v>
      </c>
      <c r="I40" s="13"/>
    </row>
    <row r="41" spans="1:9" ht="17">
      <c r="A41" s="13"/>
      <c r="B41" s="13"/>
      <c r="C41" s="15"/>
      <c r="D41" s="19"/>
      <c r="E41" s="20"/>
      <c r="F41" s="19"/>
      <c r="G41" s="21"/>
      <c r="H41" s="21"/>
      <c r="I41" s="13"/>
    </row>
    <row r="42" spans="1:9" ht="17.5" thickBot="1">
      <c r="A42" s="13"/>
      <c r="B42" s="13"/>
      <c r="C42" s="13"/>
      <c r="D42" s="13"/>
      <c r="E42" s="13"/>
      <c r="F42" s="13"/>
      <c r="G42" s="13"/>
      <c r="H42" s="13"/>
      <c r="I42" s="13"/>
    </row>
    <row r="43" spans="1:9" ht="26.5" thickBot="1">
      <c r="A43" s="13"/>
      <c r="B43" s="13"/>
      <c r="C43" s="13"/>
      <c r="D43" s="13"/>
      <c r="F43" s="200"/>
      <c r="G43" s="201" t="s">
        <v>273</v>
      </c>
      <c r="H43" s="392">
        <v>9.3899999999999997E-2</v>
      </c>
      <c r="I43" s="13"/>
    </row>
    <row r="44" spans="1:9" ht="17">
      <c r="A44" s="13"/>
      <c r="B44" s="13"/>
      <c r="C44" s="13"/>
      <c r="D44" s="13"/>
      <c r="E44" s="13"/>
      <c r="F44" s="13"/>
      <c r="G44" s="13"/>
      <c r="H44" s="13"/>
      <c r="I44" s="13"/>
    </row>
    <row r="45" spans="1:9" ht="26.5">
      <c r="A45" s="25" t="s">
        <v>359</v>
      </c>
      <c r="B45" s="13"/>
      <c r="C45" s="13"/>
      <c r="D45" s="13"/>
      <c r="E45" s="13"/>
      <c r="F45" s="13"/>
      <c r="G45" s="24" t="s">
        <v>0</v>
      </c>
      <c r="H45" s="13"/>
      <c r="I45" s="13"/>
    </row>
    <row r="46" spans="1:9" ht="17">
      <c r="A46" s="45"/>
      <c r="B46" s="13"/>
      <c r="C46" s="13"/>
      <c r="D46" s="13"/>
      <c r="E46" s="13"/>
      <c r="F46" s="13"/>
      <c r="G46" s="13"/>
      <c r="H46" s="13"/>
      <c r="I46" s="13"/>
    </row>
    <row r="47" spans="1:9" ht="17.5">
      <c r="A47" s="65" t="s">
        <v>240</v>
      </c>
      <c r="B47" s="13"/>
      <c r="C47" s="13"/>
      <c r="D47" s="13"/>
      <c r="E47" s="13"/>
      <c r="F47" s="13"/>
      <c r="G47" s="13"/>
      <c r="H47" s="13"/>
      <c r="I47" s="13"/>
    </row>
    <row r="48" spans="1:9" ht="17.5">
      <c r="A48" s="65" t="s">
        <v>360</v>
      </c>
      <c r="B48" s="13"/>
      <c r="C48" s="13"/>
      <c r="D48" s="13"/>
      <c r="E48" s="13"/>
      <c r="F48" s="13"/>
      <c r="G48" s="13"/>
      <c r="H48" s="13"/>
      <c r="I48" s="13"/>
    </row>
    <row r="49" spans="1:9" ht="17.5">
      <c r="A49" s="65" t="s">
        <v>361</v>
      </c>
      <c r="B49" s="13"/>
      <c r="C49" s="13"/>
      <c r="D49" s="13"/>
      <c r="E49" s="13"/>
      <c r="F49" s="13"/>
      <c r="G49" s="13"/>
      <c r="H49" s="13"/>
      <c r="I49" s="13"/>
    </row>
    <row r="50" spans="1:9" ht="17.5">
      <c r="A50" s="65" t="s">
        <v>362</v>
      </c>
      <c r="B50" s="13"/>
      <c r="C50" s="13"/>
      <c r="D50" s="13"/>
      <c r="E50" s="13"/>
      <c r="F50" s="13"/>
      <c r="G50" s="13"/>
      <c r="H50" s="13"/>
      <c r="I50" s="13"/>
    </row>
    <row r="51" spans="1:9" ht="17.5">
      <c r="A51" s="65" t="s">
        <v>363</v>
      </c>
      <c r="B51" s="13"/>
      <c r="C51" s="13"/>
      <c r="D51" s="13"/>
      <c r="E51" s="13"/>
      <c r="F51" s="13"/>
      <c r="G51" s="13"/>
      <c r="H51" s="13"/>
      <c r="I51" s="13"/>
    </row>
    <row r="52" spans="1:9" ht="17">
      <c r="A52" s="13"/>
      <c r="B52" s="13"/>
      <c r="C52" s="13"/>
      <c r="D52" s="13"/>
      <c r="E52" s="13"/>
      <c r="F52" s="13"/>
      <c r="G52" s="13"/>
      <c r="H52" s="13"/>
      <c r="I52" s="13"/>
    </row>
    <row r="53" spans="1:9" ht="17">
      <c r="A53" s="45" t="s">
        <v>0</v>
      </c>
      <c r="B53" s="13"/>
      <c r="C53" s="13"/>
      <c r="D53" s="13"/>
      <c r="E53" s="13"/>
      <c r="F53" s="13"/>
      <c r="G53" s="13"/>
      <c r="H53" s="13"/>
      <c r="I53" s="13"/>
    </row>
    <row r="54" spans="1:9" ht="17">
      <c r="A54" s="45"/>
      <c r="B54" s="13"/>
      <c r="C54" s="13"/>
      <c r="D54" s="13"/>
      <c r="E54" s="13"/>
      <c r="F54" s="13"/>
      <c r="G54" s="13"/>
      <c r="H54" s="13"/>
      <c r="I54" s="13"/>
    </row>
    <row r="55" spans="1:9" ht="17">
      <c r="A55" s="13"/>
      <c r="B55" s="13"/>
      <c r="C55" s="13"/>
      <c r="D55" s="13"/>
      <c r="E55" s="13"/>
      <c r="F55" s="13"/>
      <c r="G55" s="13"/>
      <c r="H55" s="13"/>
      <c r="I55" s="13"/>
    </row>
    <row r="56" spans="1:9" ht="17">
      <c r="A56" s="13"/>
      <c r="B56" s="13"/>
      <c r="C56" s="13"/>
      <c r="D56" s="13"/>
      <c r="E56" s="13"/>
      <c r="F56" s="13"/>
      <c r="G56" s="13"/>
      <c r="H56" s="13"/>
      <c r="I56" s="13"/>
    </row>
    <row r="57" spans="1:9" ht="17">
      <c r="A57" s="13"/>
      <c r="B57" s="13"/>
      <c r="C57" s="13"/>
      <c r="D57" s="13"/>
      <c r="E57" s="13"/>
      <c r="F57" s="13"/>
      <c r="G57" s="13"/>
      <c r="H57" s="13"/>
      <c r="I57" s="13"/>
    </row>
    <row r="58" spans="1:9" ht="17">
      <c r="A58" s="13"/>
      <c r="B58" s="13"/>
      <c r="C58" s="13"/>
      <c r="D58" s="13"/>
      <c r="E58" s="13"/>
      <c r="F58" s="13"/>
      <c r="G58" s="13"/>
      <c r="H58" s="13"/>
      <c r="I58" s="13"/>
    </row>
    <row r="59" spans="1:9" ht="17">
      <c r="C59" s="13"/>
      <c r="D59" s="13"/>
      <c r="E59" s="13"/>
      <c r="F59" s="13"/>
      <c r="G59" s="13"/>
      <c r="H59" s="13"/>
      <c r="I59" s="13"/>
    </row>
    <row r="60" spans="1:9" ht="17">
      <c r="C60" s="13"/>
      <c r="D60" s="13"/>
      <c r="E60" s="13"/>
      <c r="F60" s="13"/>
      <c r="G60" s="13"/>
      <c r="H60" s="13"/>
      <c r="I60" s="13"/>
    </row>
    <row r="61" spans="1:9" ht="17">
      <c r="C61" s="13"/>
      <c r="D61" s="13"/>
      <c r="E61" s="13"/>
      <c r="F61" s="13"/>
      <c r="G61" s="13"/>
      <c r="H61" s="13"/>
      <c r="I61" s="13"/>
    </row>
    <row r="62" spans="1:9" ht="17">
      <c r="C62" s="13"/>
      <c r="D62" s="13"/>
      <c r="E62" s="13"/>
      <c r="F62" s="13"/>
      <c r="G62" s="13"/>
      <c r="H62" s="13"/>
      <c r="I62" s="13"/>
    </row>
    <row r="63" spans="1:9" ht="17">
      <c r="C63" s="13"/>
      <c r="D63" s="13"/>
      <c r="E63" s="13"/>
      <c r="F63" s="13"/>
      <c r="G63" s="13"/>
      <c r="H63" s="13"/>
      <c r="I63" s="13"/>
    </row>
    <row r="64" spans="1:9" ht="17">
      <c r="C64" s="13"/>
      <c r="D64" s="13"/>
      <c r="E64" s="13"/>
      <c r="F64" s="13"/>
      <c r="G64" s="13"/>
      <c r="H64" s="13"/>
      <c r="I64" s="13"/>
    </row>
    <row r="65" spans="1:9" ht="17">
      <c r="C65" s="13"/>
      <c r="D65" s="13"/>
      <c r="E65" s="13"/>
      <c r="F65" s="13"/>
      <c r="G65" s="13"/>
      <c r="H65" s="13"/>
      <c r="I65" s="13"/>
    </row>
    <row r="66" spans="1:9" ht="17">
      <c r="A66" s="13"/>
      <c r="B66" s="13"/>
      <c r="C66" s="13"/>
      <c r="D66" s="13"/>
      <c r="E66" s="13"/>
      <c r="F66" s="13"/>
      <c r="G66" s="13"/>
      <c r="H66" s="13"/>
      <c r="I66" s="13"/>
    </row>
    <row r="67" spans="1:9" ht="17">
      <c r="A67" s="13"/>
      <c r="B67" s="13"/>
      <c r="C67" s="13"/>
      <c r="D67" s="13"/>
      <c r="E67" s="13"/>
      <c r="F67" s="13"/>
      <c r="G67" s="13"/>
      <c r="H67" s="13"/>
      <c r="I67" s="13"/>
    </row>
    <row r="68" spans="1:9" ht="17">
      <c r="A68" s="13"/>
      <c r="B68" s="13"/>
      <c r="C68" s="13"/>
      <c r="D68" s="13"/>
      <c r="E68" s="13"/>
      <c r="F68" s="13"/>
      <c r="G68" s="13"/>
      <c r="H68" s="13"/>
      <c r="I68" s="13"/>
    </row>
    <row r="69" spans="1:9" ht="17">
      <c r="A69" s="13"/>
      <c r="B69" s="13"/>
      <c r="C69" s="13"/>
      <c r="D69" s="13"/>
      <c r="E69" s="13"/>
      <c r="F69" s="13"/>
      <c r="G69" s="13"/>
      <c r="H69" s="13"/>
      <c r="I69" s="13"/>
    </row>
    <row r="70" spans="1:9" ht="17">
      <c r="A70" s="13"/>
      <c r="B70" s="13"/>
      <c r="C70" s="13"/>
      <c r="D70" s="13"/>
      <c r="E70" s="13"/>
      <c r="F70" s="13"/>
      <c r="G70" s="13"/>
      <c r="H70" s="13"/>
      <c r="I70" s="13"/>
    </row>
    <row r="71" spans="1:9" ht="17">
      <c r="A71" s="13"/>
      <c r="B71" s="13"/>
      <c r="C71" s="13"/>
      <c r="D71" s="13"/>
      <c r="E71" s="13"/>
      <c r="F71" s="13"/>
      <c r="G71" s="13"/>
      <c r="H71" s="13"/>
      <c r="I71" s="13"/>
    </row>
    <row r="72" spans="1:9" ht="17">
      <c r="A72" s="13"/>
      <c r="B72" s="13"/>
      <c r="C72" s="13"/>
      <c r="D72" s="13"/>
      <c r="E72" s="13"/>
      <c r="F72" s="13"/>
      <c r="G72" s="13"/>
      <c r="H72" s="13"/>
      <c r="I72" s="13"/>
    </row>
    <row r="73" spans="1:9" ht="17">
      <c r="A73" s="13"/>
      <c r="B73" s="13"/>
      <c r="C73" s="13"/>
      <c r="D73" s="13"/>
      <c r="E73" s="13"/>
      <c r="F73" s="13"/>
      <c r="G73" s="13"/>
      <c r="H73" s="13"/>
      <c r="I73" s="13"/>
    </row>
    <row r="74" spans="1:9" ht="17">
      <c r="A74" s="13"/>
      <c r="B74" s="13"/>
      <c r="C74" s="13"/>
      <c r="D74" s="13"/>
      <c r="E74" s="13"/>
      <c r="F74" s="13"/>
      <c r="G74" s="13"/>
      <c r="H74" s="13"/>
      <c r="I74" s="13"/>
    </row>
    <row r="75" spans="1:9" ht="17">
      <c r="A75" s="13"/>
      <c r="B75" s="13"/>
      <c r="C75" s="13"/>
      <c r="D75" s="13"/>
      <c r="E75" s="13"/>
      <c r="F75" s="13"/>
      <c r="G75" s="13"/>
      <c r="H75" s="13"/>
      <c r="I75" s="13"/>
    </row>
    <row r="76" spans="1:9" ht="17">
      <c r="A76" s="13"/>
      <c r="B76" s="13"/>
      <c r="C76" s="13"/>
      <c r="D76" s="13"/>
      <c r="E76" s="13"/>
      <c r="F76" s="13"/>
      <c r="G76" s="13"/>
      <c r="H76" s="13"/>
      <c r="I76" s="13"/>
    </row>
    <row r="77" spans="1:9" ht="17">
      <c r="A77" s="13"/>
      <c r="B77" s="13"/>
      <c r="C77" s="13"/>
      <c r="D77" s="13"/>
      <c r="E77" s="13"/>
      <c r="F77" s="13"/>
      <c r="G77" s="13"/>
      <c r="H77" s="13"/>
      <c r="I77" s="13"/>
    </row>
    <row r="78" spans="1:9" ht="17">
      <c r="A78" s="13"/>
      <c r="B78" s="13"/>
      <c r="C78" s="13"/>
      <c r="D78" s="13"/>
      <c r="E78" s="13"/>
      <c r="F78" s="13"/>
      <c r="G78" s="13"/>
      <c r="H78" s="13"/>
      <c r="I78" s="13"/>
    </row>
    <row r="79" spans="1:9" ht="17">
      <c r="A79" s="13"/>
      <c r="B79" s="13"/>
      <c r="C79" s="13"/>
      <c r="D79" s="13"/>
      <c r="E79" s="13"/>
      <c r="F79" s="13"/>
      <c r="G79" s="13"/>
      <c r="H79" s="13"/>
      <c r="I79" s="13"/>
    </row>
    <row r="80" spans="1:9" ht="17">
      <c r="A80" s="13"/>
      <c r="B80" s="13"/>
      <c r="C80" s="13"/>
      <c r="D80" s="13"/>
      <c r="E80" s="13"/>
      <c r="F80" s="13"/>
      <c r="G80" s="13"/>
      <c r="H80" s="13"/>
      <c r="I80" s="13"/>
    </row>
    <row r="81" spans="1:9" ht="17">
      <c r="A81" s="13"/>
      <c r="B81" s="13"/>
      <c r="C81" s="13"/>
      <c r="D81" s="13"/>
      <c r="E81" s="13"/>
      <c r="F81" s="13"/>
      <c r="G81" s="13"/>
      <c r="H81" s="13"/>
      <c r="I81" s="13"/>
    </row>
    <row r="82" spans="1:9" ht="17">
      <c r="A82" s="13"/>
      <c r="B82" s="13"/>
      <c r="C82" s="13"/>
      <c r="D82" s="13"/>
      <c r="E82" s="13"/>
      <c r="F82" s="13"/>
      <c r="G82" s="13"/>
      <c r="H82" s="13"/>
      <c r="I82" s="13"/>
    </row>
    <row r="83" spans="1:9" ht="17">
      <c r="A83" s="13"/>
      <c r="B83" s="13"/>
      <c r="C83" s="13"/>
      <c r="D83" s="13"/>
      <c r="E83" s="13"/>
      <c r="F83" s="13"/>
      <c r="G83" s="13"/>
      <c r="H83" s="13"/>
      <c r="I83" s="13"/>
    </row>
    <row r="84" spans="1:9" ht="17">
      <c r="A84" s="13"/>
      <c r="B84" s="13"/>
      <c r="C84" s="13"/>
      <c r="D84" s="13"/>
      <c r="E84" s="13"/>
      <c r="F84" s="13"/>
      <c r="G84" s="13"/>
      <c r="H84" s="13"/>
      <c r="I84" s="13"/>
    </row>
    <row r="85" spans="1:9" ht="17">
      <c r="A85" s="13"/>
      <c r="B85" s="13"/>
      <c r="C85" s="13"/>
      <c r="D85" s="13"/>
      <c r="E85" s="13"/>
      <c r="F85" s="13"/>
      <c r="G85" s="13"/>
      <c r="H85" s="13"/>
      <c r="I85" s="13"/>
    </row>
    <row r="86" spans="1:9" ht="17">
      <c r="A86" s="13"/>
      <c r="B86" s="13"/>
      <c r="C86" s="13"/>
      <c r="D86" s="13"/>
      <c r="E86" s="13"/>
      <c r="F86" s="13"/>
      <c r="G86" s="13"/>
      <c r="H86" s="13"/>
      <c r="I86" s="13"/>
    </row>
    <row r="87" spans="1:9" ht="17">
      <c r="A87" s="13"/>
      <c r="B87" s="13"/>
      <c r="C87" s="13"/>
      <c r="D87" s="13"/>
      <c r="E87" s="13"/>
      <c r="F87" s="13"/>
      <c r="G87" s="13"/>
      <c r="H87" s="13"/>
      <c r="I87" s="13"/>
    </row>
    <row r="88" spans="1:9" ht="17">
      <c r="A88" s="13"/>
      <c r="B88" s="13"/>
      <c r="C88" s="13"/>
      <c r="D88" s="13"/>
      <c r="E88" s="13"/>
      <c r="F88" s="13"/>
      <c r="G88" s="13"/>
      <c r="H88" s="13"/>
      <c r="I88" s="13"/>
    </row>
    <row r="89" spans="1:9" ht="17">
      <c r="A89" s="13"/>
      <c r="B89" s="13"/>
      <c r="C89" s="13"/>
      <c r="D89" s="13"/>
      <c r="E89" s="13"/>
      <c r="F89" s="13"/>
      <c r="G89" s="13"/>
      <c r="H89" s="13"/>
      <c r="I89" s="13"/>
    </row>
    <row r="90" spans="1:9" ht="17">
      <c r="A90" s="13"/>
      <c r="B90" s="13"/>
      <c r="C90" s="13"/>
      <c r="D90" s="13"/>
      <c r="E90" s="13"/>
      <c r="F90" s="13"/>
      <c r="G90" s="13"/>
      <c r="H90" s="13"/>
      <c r="I90" s="13"/>
    </row>
    <row r="91" spans="1:9" ht="17">
      <c r="A91" s="13"/>
      <c r="B91" s="13"/>
      <c r="C91" s="13"/>
      <c r="D91" s="13"/>
      <c r="E91" s="13"/>
      <c r="F91" s="13"/>
      <c r="G91" s="13"/>
      <c r="H91" s="13"/>
      <c r="I91" s="13"/>
    </row>
    <row r="92" spans="1:9" ht="17">
      <c r="A92" s="13"/>
      <c r="B92" s="13"/>
      <c r="C92" s="13"/>
      <c r="D92" s="13"/>
      <c r="E92" s="13"/>
      <c r="F92" s="13"/>
      <c r="G92" s="13"/>
      <c r="H92" s="13"/>
      <c r="I92" s="13"/>
    </row>
    <row r="93" spans="1:9" ht="17">
      <c r="A93" s="13"/>
      <c r="B93" s="13"/>
      <c r="C93" s="13"/>
      <c r="D93" s="13"/>
      <c r="E93" s="13"/>
      <c r="F93" s="13"/>
      <c r="G93" s="13"/>
      <c r="H93" s="13"/>
      <c r="I93" s="13"/>
    </row>
    <row r="94" spans="1:9" ht="17">
      <c r="A94" s="13"/>
      <c r="B94" s="13"/>
      <c r="C94" s="13"/>
      <c r="D94" s="13"/>
      <c r="E94" s="13"/>
      <c r="F94" s="13"/>
      <c r="G94" s="13"/>
      <c r="H94" s="13"/>
      <c r="I94" s="13"/>
    </row>
    <row r="95" spans="1:9" ht="17">
      <c r="A95" s="13"/>
      <c r="B95" s="13"/>
      <c r="C95" s="13"/>
      <c r="D95" s="13"/>
      <c r="E95" s="13"/>
      <c r="F95" s="13"/>
      <c r="G95" s="13"/>
      <c r="H95" s="13"/>
      <c r="I95" s="13"/>
    </row>
    <row r="96" spans="1:9" ht="17">
      <c r="A96" s="13"/>
      <c r="B96" s="13"/>
      <c r="C96" s="13"/>
      <c r="D96" s="13"/>
      <c r="E96" s="13"/>
      <c r="F96" s="13"/>
      <c r="G96" s="13"/>
      <c r="H96" s="13"/>
      <c r="I96" s="13"/>
    </row>
    <row r="97" spans="1:9" ht="17">
      <c r="A97" s="13"/>
      <c r="B97" s="13"/>
      <c r="C97" s="13"/>
      <c r="D97" s="13"/>
      <c r="E97" s="13"/>
      <c r="F97" s="13"/>
      <c r="G97" s="13"/>
      <c r="H97" s="13"/>
      <c r="I97" s="13"/>
    </row>
    <row r="98" spans="1:9" ht="17">
      <c r="A98" s="13"/>
      <c r="B98" s="13"/>
      <c r="C98" s="13"/>
      <c r="D98" s="13"/>
      <c r="E98" s="13"/>
      <c r="F98" s="13"/>
      <c r="G98" s="13"/>
      <c r="H98" s="13"/>
      <c r="I98" s="13"/>
    </row>
    <row r="99" spans="1:9" ht="17">
      <c r="A99" s="13"/>
      <c r="B99" s="13"/>
      <c r="C99" s="13"/>
      <c r="D99" s="13"/>
      <c r="E99" s="13"/>
      <c r="F99" s="13"/>
      <c r="G99" s="13"/>
      <c r="H99" s="13"/>
      <c r="I99" s="13"/>
    </row>
    <row r="100" spans="1:9" ht="17">
      <c r="A100" s="13"/>
      <c r="B100" s="13"/>
      <c r="C100" s="13"/>
      <c r="D100" s="13"/>
      <c r="E100" s="13"/>
      <c r="F100" s="13"/>
      <c r="G100" s="13"/>
      <c r="H100" s="13"/>
      <c r="I100" s="13"/>
    </row>
    <row r="101" spans="1:9" ht="17">
      <c r="A101" s="13"/>
      <c r="B101" s="13"/>
      <c r="C101" s="13"/>
      <c r="D101" s="13"/>
      <c r="E101" s="13"/>
      <c r="F101" s="13"/>
      <c r="G101" s="13"/>
      <c r="H101" s="13"/>
      <c r="I101" s="13"/>
    </row>
    <row r="102" spans="1:9" ht="17">
      <c r="A102" s="13"/>
      <c r="B102" s="13"/>
      <c r="C102" s="13"/>
      <c r="D102" s="13"/>
      <c r="E102" s="13"/>
      <c r="F102" s="13"/>
      <c r="G102" s="13"/>
      <c r="H102" s="13"/>
      <c r="I102" s="13"/>
    </row>
    <row r="103" spans="1:9" ht="17">
      <c r="A103" s="13"/>
      <c r="B103" s="13"/>
      <c r="C103" s="13"/>
      <c r="D103" s="13"/>
      <c r="E103" s="13"/>
      <c r="F103" s="13"/>
      <c r="G103" s="13"/>
      <c r="H103" s="13"/>
      <c r="I103" s="13"/>
    </row>
    <row r="104" spans="1:9" ht="17">
      <c r="A104" s="13"/>
      <c r="B104" s="13"/>
      <c r="C104" s="13"/>
      <c r="D104" s="13"/>
      <c r="E104" s="13"/>
      <c r="F104" s="13"/>
      <c r="G104" s="13"/>
      <c r="H104" s="13"/>
      <c r="I104" s="13"/>
    </row>
    <row r="105" spans="1:9" ht="17">
      <c r="A105" s="13"/>
      <c r="B105" s="13"/>
      <c r="C105" s="13"/>
      <c r="D105" s="13"/>
      <c r="E105" s="13"/>
      <c r="F105" s="13"/>
      <c r="G105" s="13"/>
      <c r="H105" s="13"/>
      <c r="I105" s="13"/>
    </row>
    <row r="106" spans="1:9" ht="17">
      <c r="A106" s="13"/>
      <c r="B106" s="13"/>
      <c r="C106" s="13"/>
      <c r="D106" s="13"/>
      <c r="E106" s="13"/>
      <c r="F106" s="13"/>
      <c r="G106" s="13"/>
      <c r="H106" s="13"/>
      <c r="I106" s="13"/>
    </row>
    <row r="107" spans="1:9" ht="17">
      <c r="A107" s="13"/>
      <c r="B107" s="13"/>
      <c r="C107" s="13"/>
      <c r="D107" s="13"/>
      <c r="E107" s="13"/>
      <c r="F107" s="13"/>
      <c r="G107" s="13"/>
      <c r="H107" s="13"/>
      <c r="I107" s="13"/>
    </row>
    <row r="108" spans="1:9" ht="17">
      <c r="A108" s="13"/>
      <c r="B108" s="13"/>
      <c r="C108" s="13"/>
      <c r="D108" s="13"/>
      <c r="E108" s="13"/>
      <c r="F108" s="13"/>
      <c r="G108" s="13"/>
      <c r="H108" s="13"/>
      <c r="I108" s="13"/>
    </row>
    <row r="109" spans="1:9" ht="17">
      <c r="A109" s="13"/>
      <c r="B109" s="13"/>
      <c r="C109" s="13"/>
      <c r="D109" s="13"/>
      <c r="E109" s="13"/>
      <c r="F109" s="13"/>
      <c r="G109" s="13"/>
      <c r="H109" s="13"/>
      <c r="I109" s="13"/>
    </row>
    <row r="110" spans="1:9" ht="17">
      <c r="A110" s="13"/>
      <c r="B110" s="13"/>
      <c r="C110" s="13"/>
      <c r="D110" s="13"/>
      <c r="E110" s="13"/>
      <c r="F110" s="13"/>
      <c r="G110" s="13"/>
      <c r="H110" s="13"/>
      <c r="I110" s="13"/>
    </row>
    <row r="111" spans="1:9" ht="17">
      <c r="A111" s="13"/>
      <c r="B111" s="13"/>
      <c r="C111" s="13"/>
      <c r="D111" s="13"/>
      <c r="E111" s="13"/>
      <c r="F111" s="13"/>
      <c r="G111" s="13"/>
      <c r="H111" s="13"/>
      <c r="I111" s="13"/>
    </row>
    <row r="112" spans="1:9" ht="17">
      <c r="A112" s="13"/>
      <c r="B112" s="13"/>
      <c r="C112" s="13"/>
      <c r="D112" s="13"/>
      <c r="E112" s="13"/>
      <c r="F112" s="13"/>
      <c r="G112" s="13"/>
      <c r="H112" s="13"/>
      <c r="I112" s="13"/>
    </row>
    <row r="113" spans="1:9" ht="17">
      <c r="A113" s="13"/>
      <c r="B113" s="13"/>
      <c r="C113" s="13"/>
      <c r="D113" s="13"/>
      <c r="E113" s="13"/>
      <c r="F113" s="13"/>
      <c r="G113" s="13"/>
      <c r="H113" s="13"/>
      <c r="I113" s="13"/>
    </row>
    <row r="114" spans="1:9" ht="17">
      <c r="A114" s="13"/>
      <c r="B114" s="13"/>
      <c r="C114" s="13"/>
      <c r="D114" s="13"/>
      <c r="E114" s="13"/>
      <c r="F114" s="13"/>
      <c r="G114" s="13"/>
      <c r="H114" s="13"/>
      <c r="I114" s="13"/>
    </row>
    <row r="115" spans="1:9" ht="17">
      <c r="A115" s="13"/>
      <c r="B115" s="13"/>
      <c r="C115" s="13"/>
      <c r="D115" s="13"/>
      <c r="E115" s="13"/>
      <c r="F115" s="13"/>
      <c r="G115" s="13"/>
      <c r="H115" s="13"/>
      <c r="I115" s="13"/>
    </row>
    <row r="116" spans="1:9" ht="17">
      <c r="A116" s="13"/>
      <c r="B116" s="13"/>
      <c r="C116" s="13"/>
      <c r="D116" s="13"/>
      <c r="E116" s="13"/>
      <c r="F116" s="13"/>
      <c r="G116" s="13"/>
      <c r="H116" s="13"/>
      <c r="I116" s="13"/>
    </row>
    <row r="117" spans="1:9" ht="17">
      <c r="A117" s="13"/>
      <c r="B117" s="13"/>
      <c r="C117" s="13"/>
      <c r="D117" s="13"/>
      <c r="E117" s="13"/>
      <c r="F117" s="13"/>
      <c r="G117" s="13"/>
      <c r="H117" s="13"/>
      <c r="I117" s="13"/>
    </row>
    <row r="118" spans="1:9" ht="17">
      <c r="A118" s="13"/>
      <c r="B118" s="13"/>
      <c r="C118" s="13"/>
      <c r="D118" s="13"/>
      <c r="E118" s="13"/>
      <c r="F118" s="13"/>
      <c r="G118" s="13"/>
      <c r="H118" s="13"/>
      <c r="I118" s="13"/>
    </row>
    <row r="119" spans="1:9" ht="17">
      <c r="A119" s="13"/>
      <c r="B119" s="13"/>
      <c r="C119" s="13"/>
      <c r="D119" s="13"/>
      <c r="E119" s="13"/>
      <c r="F119" s="13"/>
      <c r="G119" s="13"/>
      <c r="H119" s="13"/>
      <c r="I119" s="13"/>
    </row>
    <row r="120" spans="1:9" ht="17">
      <c r="A120" s="13"/>
      <c r="B120" s="13"/>
      <c r="C120" s="13"/>
      <c r="D120" s="13"/>
      <c r="E120" s="13"/>
      <c r="F120" s="13"/>
      <c r="G120" s="13"/>
      <c r="H120" s="13"/>
      <c r="I120" s="13"/>
    </row>
    <row r="121" spans="1:9" ht="17">
      <c r="A121" s="13"/>
      <c r="B121" s="13"/>
      <c r="C121" s="13"/>
      <c r="D121" s="13"/>
      <c r="E121" s="13"/>
      <c r="F121" s="13"/>
      <c r="G121" s="13"/>
      <c r="H121" s="13"/>
      <c r="I121" s="13"/>
    </row>
    <row r="122" spans="1:9" ht="17">
      <c r="A122" s="13"/>
      <c r="B122" s="13"/>
      <c r="C122" s="13"/>
      <c r="D122" s="13"/>
      <c r="E122" s="13"/>
      <c r="F122" s="13"/>
      <c r="G122" s="13"/>
      <c r="H122" s="13"/>
      <c r="I122" s="13"/>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9282-6164-4F23-8F00-A2369B6B55B2}">
  <sheetPr>
    <tabColor rgb="FF92D050"/>
  </sheetPr>
  <dimension ref="A1:N55"/>
  <sheetViews>
    <sheetView view="pageBreakPreview" zoomScale="60" zoomScaleNormal="80" workbookViewId="0">
      <selection activeCell="I43" sqref="I43"/>
    </sheetView>
  </sheetViews>
  <sheetFormatPr defaultRowHeight="14.5"/>
  <cols>
    <col min="1" max="1" width="21.54296875" customWidth="1"/>
    <col min="2" max="2" width="38.453125" customWidth="1"/>
    <col min="3" max="3" width="25" customWidth="1"/>
    <col min="4" max="4" width="28.81640625" customWidth="1"/>
    <col min="5" max="5" width="22.453125" customWidth="1"/>
    <col min="6" max="6" width="25" customWidth="1"/>
    <col min="7" max="7" width="17.26953125" customWidth="1"/>
    <col min="8" max="8" width="26.7265625" customWidth="1"/>
    <col min="9" max="9" width="25.7265625" customWidth="1"/>
    <col min="10" max="10" width="21.26953125" customWidth="1"/>
    <col min="11" max="11" width="4.453125" customWidth="1"/>
    <col min="12" max="12" width="22.7265625" customWidth="1"/>
    <col min="13" max="13" width="17.26953125" customWidth="1"/>
  </cols>
  <sheetData>
    <row r="1" spans="1:14" ht="25.5">
      <c r="A1" s="25" t="s">
        <v>1</v>
      </c>
      <c r="C1" s="13"/>
      <c r="D1" s="13"/>
      <c r="E1" s="13"/>
      <c r="F1" s="13"/>
      <c r="G1" s="13"/>
      <c r="H1" s="13"/>
      <c r="I1" s="13"/>
      <c r="J1" s="13"/>
      <c r="K1" s="13"/>
      <c r="L1" s="13"/>
      <c r="M1" s="13"/>
      <c r="N1" s="13"/>
    </row>
    <row r="2" spans="1:14" ht="17.5">
      <c r="A2" s="65" t="s">
        <v>9</v>
      </c>
      <c r="C2" s="13"/>
      <c r="D2" s="13"/>
      <c r="E2" s="13"/>
      <c r="F2" s="13"/>
      <c r="G2" s="13"/>
      <c r="H2" s="13"/>
      <c r="I2" s="13"/>
      <c r="J2" s="13"/>
      <c r="K2" s="13"/>
      <c r="L2" s="13"/>
      <c r="M2" s="13"/>
      <c r="N2" s="13"/>
    </row>
    <row r="3" spans="1:14" ht="17">
      <c r="A3" s="27" t="s">
        <v>483</v>
      </c>
      <c r="C3" s="13"/>
      <c r="D3" s="13"/>
      <c r="E3" s="13"/>
      <c r="F3" s="13"/>
      <c r="G3" s="13"/>
      <c r="H3" s="13"/>
      <c r="I3" s="13"/>
      <c r="J3" s="13"/>
      <c r="K3" s="13"/>
      <c r="L3" s="13"/>
      <c r="M3" s="13"/>
      <c r="N3" s="13"/>
    </row>
    <row r="4" spans="1:14" ht="17">
      <c r="A4" s="13"/>
      <c r="C4" s="13"/>
      <c r="D4" s="13"/>
      <c r="E4" s="28" t="s">
        <v>0</v>
      </c>
      <c r="F4" s="13"/>
      <c r="G4" s="13"/>
      <c r="H4" s="13"/>
      <c r="I4" s="13"/>
      <c r="J4" s="13"/>
      <c r="K4" s="13"/>
      <c r="L4" s="13"/>
      <c r="M4" s="13"/>
      <c r="N4" s="13"/>
    </row>
    <row r="5" spans="1:14" ht="18" thickBot="1">
      <c r="A5" s="65"/>
      <c r="C5" s="13"/>
      <c r="D5" s="13"/>
      <c r="E5" s="13"/>
      <c r="F5" s="13"/>
      <c r="G5" s="13"/>
      <c r="H5" s="13"/>
      <c r="I5" s="13"/>
      <c r="J5" s="13"/>
      <c r="K5" s="13"/>
      <c r="L5" s="13"/>
      <c r="M5" s="13"/>
      <c r="N5" s="13"/>
    </row>
    <row r="6" spans="1:14" ht="21.5" thickBot="1">
      <c r="A6" s="29" t="str">
        <f>+'S&amp;D'!A12</f>
        <v>Electric Utilities</v>
      </c>
      <c r="B6" s="196"/>
      <c r="C6" s="13"/>
      <c r="D6" s="13"/>
      <c r="E6" s="13"/>
      <c r="F6" s="13"/>
      <c r="G6" s="13"/>
      <c r="H6" s="13"/>
    </row>
    <row r="7" spans="1:14" ht="18" thickBot="1">
      <c r="A7" s="65"/>
      <c r="C7" s="30"/>
      <c r="D7" s="30"/>
      <c r="E7" s="30"/>
      <c r="F7" s="30"/>
      <c r="G7" s="30"/>
      <c r="H7" s="13"/>
    </row>
    <row r="8" spans="1:14" ht="25.5">
      <c r="C8" s="13"/>
      <c r="D8" s="13"/>
      <c r="E8" s="33" t="s">
        <v>391</v>
      </c>
      <c r="F8" s="13"/>
      <c r="G8" s="13"/>
      <c r="H8" s="13"/>
    </row>
    <row r="9" spans="1:14" ht="21.5" thickBot="1">
      <c r="B9" s="32"/>
      <c r="C9" s="30"/>
      <c r="D9" s="30"/>
      <c r="E9" s="34" t="s">
        <v>484</v>
      </c>
      <c r="F9" s="30"/>
      <c r="G9" s="30"/>
      <c r="H9" s="13"/>
    </row>
    <row r="10" spans="1:14" ht="21.75" customHeight="1" thickBot="1">
      <c r="B10" s="35" t="s">
        <v>0</v>
      </c>
      <c r="C10" s="35" t="s">
        <v>0</v>
      </c>
      <c r="D10" s="35" t="s">
        <v>0</v>
      </c>
      <c r="E10" s="35" t="s">
        <v>0</v>
      </c>
      <c r="F10" s="35" t="s">
        <v>0</v>
      </c>
      <c r="G10" s="35" t="s">
        <v>0</v>
      </c>
      <c r="H10" s="30"/>
      <c r="I10" s="155"/>
      <c r="J10" s="155"/>
    </row>
    <row r="11" spans="1:14" ht="17">
      <c r="B11" s="36" t="s">
        <v>0</v>
      </c>
      <c r="C11" s="36" t="s">
        <v>3</v>
      </c>
      <c r="D11" s="36" t="s">
        <v>0</v>
      </c>
      <c r="E11" s="36" t="s">
        <v>392</v>
      </c>
      <c r="F11" s="36" t="s">
        <v>268</v>
      </c>
      <c r="G11" s="36" t="s">
        <v>27</v>
      </c>
      <c r="H11" s="36" t="s">
        <v>393</v>
      </c>
      <c r="I11" s="36" t="s">
        <v>393</v>
      </c>
      <c r="J11" s="36" t="s">
        <v>27</v>
      </c>
    </row>
    <row r="12" spans="1:14" ht="17.5" thickBot="1">
      <c r="B12" s="38" t="s">
        <v>2</v>
      </c>
      <c r="C12" s="38" t="s">
        <v>4</v>
      </c>
      <c r="D12" s="38" t="s">
        <v>28</v>
      </c>
      <c r="E12" s="38" t="s">
        <v>203</v>
      </c>
      <c r="F12" s="38" t="s">
        <v>394</v>
      </c>
      <c r="G12" s="38" t="s">
        <v>30</v>
      </c>
      <c r="H12" s="38" t="s">
        <v>417</v>
      </c>
      <c r="I12" s="38" t="s">
        <v>29</v>
      </c>
      <c r="J12" s="38" t="s">
        <v>30</v>
      </c>
    </row>
    <row r="13" spans="1:14" ht="15">
      <c r="B13" s="40" t="s">
        <v>0</v>
      </c>
      <c r="C13" s="40" t="s">
        <v>0</v>
      </c>
      <c r="D13" s="41" t="s">
        <v>147</v>
      </c>
      <c r="E13" s="40" t="s">
        <v>148</v>
      </c>
      <c r="F13" s="40" t="s">
        <v>0</v>
      </c>
      <c r="G13" s="40" t="s">
        <v>0</v>
      </c>
      <c r="H13" s="40" t="s">
        <v>148</v>
      </c>
      <c r="I13" s="40" t="s">
        <v>0</v>
      </c>
      <c r="J13" s="40" t="s">
        <v>0</v>
      </c>
    </row>
    <row r="14" spans="1:14" ht="17">
      <c r="B14" s="36"/>
      <c r="C14" s="36"/>
      <c r="D14" s="36"/>
      <c r="E14" s="36"/>
      <c r="F14" s="36"/>
      <c r="G14" s="36"/>
      <c r="H14" s="36"/>
      <c r="I14" s="36"/>
      <c r="J14" s="36"/>
    </row>
    <row r="15" spans="1:14" ht="17">
      <c r="B15" s="13"/>
      <c r="C15" s="13"/>
      <c r="D15" s="13"/>
      <c r="E15" s="13"/>
      <c r="F15" s="13"/>
      <c r="G15" s="13"/>
      <c r="H15" s="13"/>
      <c r="I15" s="13"/>
      <c r="J15" s="13"/>
    </row>
    <row r="16" spans="1:14" ht="17.5">
      <c r="B16" s="65" t="str">
        <f>+'S&amp;D'!A22</f>
        <v>ALLETE Inc</v>
      </c>
      <c r="C16" s="93" t="str">
        <f>+'S&amp;D'!B22</f>
        <v>ALE</v>
      </c>
      <c r="D16" s="190">
        <f>+'S&amp;D'!G22</f>
        <v>61.16</v>
      </c>
      <c r="E16" s="310">
        <v>28.8</v>
      </c>
      <c r="F16" s="74">
        <f>D16/E16</f>
        <v>2.1236111111111109</v>
      </c>
      <c r="G16" s="59">
        <f t="shared" ref="G16:G31" si="0">1/F16</f>
        <v>0.47089601046435586</v>
      </c>
      <c r="H16" s="310">
        <v>51.25</v>
      </c>
      <c r="I16" s="440">
        <f t="shared" ref="I16:I31" si="1">D16/H16</f>
        <v>1.1933658536585365</v>
      </c>
      <c r="J16" s="59">
        <f t="shared" ref="J16:J31" si="2">1/I16</f>
        <v>0.83796599084368872</v>
      </c>
    </row>
    <row r="17" spans="2:10" ht="17.5">
      <c r="B17" s="65" t="str">
        <f>+'S&amp;D'!A23</f>
        <v>Alliant Energy</v>
      </c>
      <c r="C17" s="93" t="str">
        <f>+'S&amp;D'!B23</f>
        <v>LNT</v>
      </c>
      <c r="D17" s="190">
        <f>+'S&amp;D'!G23</f>
        <v>51.3</v>
      </c>
      <c r="E17" s="310">
        <v>16.75</v>
      </c>
      <c r="F17" s="440">
        <f t="shared" ref="F17:F20" si="3">D17/E17</f>
        <v>3.062686567164179</v>
      </c>
      <c r="G17" s="59">
        <f t="shared" si="0"/>
        <v>0.32651072124756336</v>
      </c>
      <c r="H17" s="310">
        <v>27.65</v>
      </c>
      <c r="I17" s="440">
        <f t="shared" si="1"/>
        <v>1.8553345388788427</v>
      </c>
      <c r="J17" s="59">
        <f t="shared" si="2"/>
        <v>0.53898635477582846</v>
      </c>
    </row>
    <row r="18" spans="2:10" ht="17.5">
      <c r="B18" s="65" t="str">
        <f>+'S&amp;D'!A24</f>
        <v>AMEREN Corporation</v>
      </c>
      <c r="C18" s="93" t="str">
        <f>+'S&amp;D'!B24</f>
        <v>AEE</v>
      </c>
      <c r="D18" s="190">
        <f>+'S&amp;D'!G24</f>
        <v>72.34</v>
      </c>
      <c r="E18" s="310">
        <v>30.85</v>
      </c>
      <c r="F18" s="440">
        <f t="shared" si="3"/>
        <v>2.3448946515397084</v>
      </c>
      <c r="G18" s="59">
        <f t="shared" si="0"/>
        <v>0.42645839093171134</v>
      </c>
      <c r="H18" s="310">
        <v>42.9</v>
      </c>
      <c r="I18" s="440">
        <f t="shared" si="1"/>
        <v>1.6862470862470864</v>
      </c>
      <c r="J18" s="59">
        <f t="shared" si="2"/>
        <v>0.5930329001935305</v>
      </c>
    </row>
    <row r="19" spans="2:10" ht="17.5">
      <c r="B19" s="65" t="str">
        <f>+'S&amp;D'!A25</f>
        <v>American Electric Power</v>
      </c>
      <c r="C19" s="93" t="str">
        <f>+'S&amp;D'!B25</f>
        <v>AEP</v>
      </c>
      <c r="D19" s="190">
        <f>+'S&amp;D'!G25</f>
        <v>81.22</v>
      </c>
      <c r="E19" s="310">
        <v>38.75</v>
      </c>
      <c r="F19" s="440">
        <f>D19/E19</f>
        <v>2.0960000000000001</v>
      </c>
      <c r="G19" s="59">
        <f t="shared" si="0"/>
        <v>0.47709923664122134</v>
      </c>
      <c r="H19" s="310">
        <v>55.05</v>
      </c>
      <c r="I19" s="440">
        <f t="shared" si="1"/>
        <v>1.475386012715713</v>
      </c>
      <c r="J19" s="59">
        <f t="shared" si="2"/>
        <v>0.67778872198965767</v>
      </c>
    </row>
    <row r="20" spans="2:10" ht="17.5">
      <c r="B20" s="65" t="str">
        <f>+'S&amp;D'!A26</f>
        <v>Centerpoint Energy</v>
      </c>
      <c r="C20" s="93" t="str">
        <f>+'S&amp;D'!B26</f>
        <v>CNP</v>
      </c>
      <c r="D20" s="190">
        <f>+'S&amp;D'!G26</f>
        <v>28.57</v>
      </c>
      <c r="E20" s="310">
        <v>15.1</v>
      </c>
      <c r="F20" s="440">
        <f t="shared" si="3"/>
        <v>1.8920529801324504</v>
      </c>
      <c r="G20" s="59">
        <f t="shared" si="0"/>
        <v>0.52852642632131608</v>
      </c>
      <c r="H20" s="310">
        <v>16.55</v>
      </c>
      <c r="I20" s="440">
        <f t="shared" si="1"/>
        <v>1.7262839879154077</v>
      </c>
      <c r="J20" s="59">
        <f t="shared" si="2"/>
        <v>0.57927896394819745</v>
      </c>
    </row>
    <row r="21" spans="2:10" ht="17.5">
      <c r="B21" s="65" t="str">
        <f>+'S&amp;D'!A27</f>
        <v>CMS Energy</v>
      </c>
      <c r="C21" s="93" t="str">
        <f>+'S&amp;D'!B27</f>
        <v>CMS</v>
      </c>
      <c r="D21" s="190">
        <f>+'S&amp;D'!G27</f>
        <v>58.07</v>
      </c>
      <c r="E21" s="310">
        <v>28.8</v>
      </c>
      <c r="F21" s="440">
        <f t="shared" ref="F21:F26" si="4">D21/E21</f>
        <v>2.0163194444444446</v>
      </c>
      <c r="G21" s="59">
        <f t="shared" si="0"/>
        <v>0.49595315997933526</v>
      </c>
      <c r="H21" s="310">
        <v>26.35</v>
      </c>
      <c r="I21" s="440">
        <f t="shared" si="1"/>
        <v>2.2037950664136621</v>
      </c>
      <c r="J21" s="59">
        <f t="shared" si="2"/>
        <v>0.4537627001894266</v>
      </c>
    </row>
    <row r="22" spans="2:10" ht="17.5">
      <c r="B22" s="65" t="str">
        <f>+'S&amp;D'!A28</f>
        <v>DTE Energy</v>
      </c>
      <c r="C22" s="93" t="str">
        <f>+'S&amp;D'!B28</f>
        <v>DTE</v>
      </c>
      <c r="D22" s="190">
        <f>+'S&amp;D'!G28</f>
        <v>110.26</v>
      </c>
      <c r="E22" s="310">
        <v>72.25</v>
      </c>
      <c r="F22" s="440">
        <f t="shared" si="4"/>
        <v>1.5260899653979239</v>
      </c>
      <c r="G22" s="59">
        <f t="shared" si="0"/>
        <v>0.65526936332305463</v>
      </c>
      <c r="H22" s="310">
        <v>55.95</v>
      </c>
      <c r="I22" s="440">
        <f t="shared" si="1"/>
        <v>1.9706881143878463</v>
      </c>
      <c r="J22" s="59">
        <f t="shared" si="2"/>
        <v>0.50743696716851083</v>
      </c>
    </row>
    <row r="23" spans="2:10" ht="17.5">
      <c r="B23" s="65" t="str">
        <f>+'S&amp;D'!A29</f>
        <v>Duke Energy</v>
      </c>
      <c r="C23" s="93" t="str">
        <f>+'S&amp;D'!B29</f>
        <v>DUK</v>
      </c>
      <c r="D23" s="190">
        <f>+'S&amp;D'!G29</f>
        <v>97.04</v>
      </c>
      <c r="E23" s="310">
        <v>38.950000000000003</v>
      </c>
      <c r="F23" s="74">
        <f t="shared" si="4"/>
        <v>2.4913992297817713</v>
      </c>
      <c r="G23" s="59">
        <f t="shared" si="0"/>
        <v>0.40138087386644683</v>
      </c>
      <c r="H23" s="310">
        <v>66.25</v>
      </c>
      <c r="I23" s="440">
        <f t="shared" si="1"/>
        <v>1.4647547169811321</v>
      </c>
      <c r="J23" s="59">
        <f t="shared" si="2"/>
        <v>0.68270816158285241</v>
      </c>
    </row>
    <row r="24" spans="2:10" ht="17.5">
      <c r="B24" s="65" t="str">
        <f>+'S&amp;D'!A30</f>
        <v>Entergy Corp</v>
      </c>
      <c r="C24" s="93" t="str">
        <f>+'S&amp;D'!B30</f>
        <v>ETR</v>
      </c>
      <c r="D24" s="190">
        <f>+'S&amp;D'!G30</f>
        <v>101.19</v>
      </c>
      <c r="E24" s="310">
        <v>57.8</v>
      </c>
      <c r="F24" s="74">
        <f t="shared" si="4"/>
        <v>1.7506920415224914</v>
      </c>
      <c r="G24" s="59">
        <f t="shared" si="0"/>
        <v>0.57120268801264951</v>
      </c>
      <c r="H24" s="310">
        <v>70.650000000000006</v>
      </c>
      <c r="I24" s="440">
        <f t="shared" si="1"/>
        <v>1.4322717622080678</v>
      </c>
      <c r="J24" s="59">
        <f t="shared" si="2"/>
        <v>0.6981915209012749</v>
      </c>
    </row>
    <row r="25" spans="2:10" ht="17.5">
      <c r="B25" s="65" t="str">
        <f>+'S&amp;D'!A31</f>
        <v>Evergy Inc</v>
      </c>
      <c r="C25" s="93" t="str">
        <f>+'S&amp;D'!B31</f>
        <v>EVRG</v>
      </c>
      <c r="D25" s="190">
        <f>+'S&amp;D'!G31</f>
        <v>52.2</v>
      </c>
      <c r="E25" s="310">
        <v>25.65</v>
      </c>
      <c r="F25" s="74">
        <f t="shared" si="4"/>
        <v>2.0350877192982457</v>
      </c>
      <c r="G25" s="59">
        <f t="shared" si="0"/>
        <v>0.49137931034482757</v>
      </c>
      <c r="H25" s="310">
        <v>44.1</v>
      </c>
      <c r="I25" s="440">
        <f t="shared" si="1"/>
        <v>1.1836734693877551</v>
      </c>
      <c r="J25" s="59">
        <f t="shared" si="2"/>
        <v>0.84482758620689657</v>
      </c>
    </row>
    <row r="26" spans="2:10" ht="16.5" customHeight="1">
      <c r="B26" s="65" t="str">
        <f>+'S&amp;D'!A32</f>
        <v>FirstEnergy Corp</v>
      </c>
      <c r="C26" s="93" t="str">
        <f>+'S&amp;D'!B32</f>
        <v>FE</v>
      </c>
      <c r="D26" s="190">
        <f>+'S&amp;D'!G32</f>
        <v>36.659999999999997</v>
      </c>
      <c r="E26" s="310">
        <v>23.75</v>
      </c>
      <c r="F26" s="74">
        <f t="shared" si="4"/>
        <v>1.5435789473684209</v>
      </c>
      <c r="G26" s="59">
        <f t="shared" si="0"/>
        <v>0.64784506273867981</v>
      </c>
      <c r="H26" s="310">
        <v>19.25</v>
      </c>
      <c r="I26" s="440">
        <f t="shared" si="1"/>
        <v>1.9044155844155843</v>
      </c>
      <c r="J26" s="59">
        <f t="shared" si="2"/>
        <v>0.52509547190398254</v>
      </c>
    </row>
    <row r="27" spans="2:10" ht="17.5">
      <c r="B27" s="65" t="str">
        <f>+'S&amp;D'!A33</f>
        <v>OGE Energy Corp.</v>
      </c>
      <c r="C27" s="93" t="str">
        <f>+'S&amp;D'!B33</f>
        <v>OGE</v>
      </c>
      <c r="D27" s="190">
        <f>+'S&amp;D'!G33</f>
        <v>34.93</v>
      </c>
      <c r="E27" s="310">
        <v>16.5</v>
      </c>
      <c r="F27" s="74">
        <f t="shared" ref="F27:F31" si="5">D27/E27</f>
        <v>2.1169696969696972</v>
      </c>
      <c r="G27" s="59">
        <f t="shared" si="0"/>
        <v>0.47237331806470079</v>
      </c>
      <c r="H27" s="310">
        <v>23.1</v>
      </c>
      <c r="I27" s="440">
        <f t="shared" si="1"/>
        <v>1.512121212121212</v>
      </c>
      <c r="J27" s="59">
        <f t="shared" si="2"/>
        <v>0.66132264529058127</v>
      </c>
    </row>
    <row r="28" spans="2:10" ht="17.5">
      <c r="B28" s="65" t="str">
        <f>+'S&amp;D'!A34</f>
        <v>Otter Tail Corp</v>
      </c>
      <c r="C28" s="93" t="str">
        <f>+'S&amp;D'!B34</f>
        <v>OTTR</v>
      </c>
      <c r="D28" s="190">
        <f>+'S&amp;D'!G34</f>
        <v>84.97</v>
      </c>
      <c r="E28" s="310">
        <v>32.15</v>
      </c>
      <c r="F28" s="74">
        <f t="shared" si="5"/>
        <v>2.6429237947122863</v>
      </c>
      <c r="G28" s="59">
        <f t="shared" si="0"/>
        <v>0.37836883605978577</v>
      </c>
      <c r="H28" s="310">
        <v>31.15</v>
      </c>
      <c r="I28" s="74">
        <f t="shared" si="1"/>
        <v>2.7277688603531303</v>
      </c>
      <c r="J28" s="59">
        <f t="shared" si="2"/>
        <v>0.36659997646228076</v>
      </c>
    </row>
    <row r="29" spans="2:10" ht="17.5">
      <c r="B29" s="65" t="str">
        <f>+'S&amp;D'!A35</f>
        <v>PPL Corporation</v>
      </c>
      <c r="C29" s="93" t="str">
        <f>+'S&amp;D'!B35</f>
        <v>PPL</v>
      </c>
      <c r="D29" s="190">
        <f>+'S&amp;D'!G35</f>
        <v>27.1</v>
      </c>
      <c r="E29" s="310">
        <v>11.8</v>
      </c>
      <c r="F29" s="74">
        <f t="shared" si="5"/>
        <v>2.2966101694915255</v>
      </c>
      <c r="G29" s="59">
        <f t="shared" si="0"/>
        <v>0.43542435424354242</v>
      </c>
      <c r="H29" s="310">
        <v>19.850000000000001</v>
      </c>
      <c r="I29" s="74">
        <f t="shared" si="1"/>
        <v>1.3652392947103273</v>
      </c>
      <c r="J29" s="59">
        <f t="shared" si="2"/>
        <v>0.7324723247232473</v>
      </c>
    </row>
    <row r="30" spans="2:10" ht="17.5">
      <c r="B30" s="65" t="str">
        <f>+'S&amp;D'!A36</f>
        <v>The Southern Company</v>
      </c>
      <c r="C30" s="93" t="str">
        <f>+'S&amp;D'!B36</f>
        <v>SO</v>
      </c>
      <c r="D30" s="190">
        <f>+'S&amp;D'!G36</f>
        <v>70.12</v>
      </c>
      <c r="E30" s="310">
        <v>26.4</v>
      </c>
      <c r="F30" s="74">
        <f t="shared" si="5"/>
        <v>2.6560606060606062</v>
      </c>
      <c r="G30" s="59">
        <f t="shared" si="0"/>
        <v>0.37649743297204791</v>
      </c>
      <c r="H30" s="310">
        <v>29.9</v>
      </c>
      <c r="I30" s="74">
        <f t="shared" si="1"/>
        <v>2.3451505016722409</v>
      </c>
      <c r="J30" s="59">
        <f t="shared" si="2"/>
        <v>0.42641186537364517</v>
      </c>
    </row>
    <row r="31" spans="2:10" ht="17.5">
      <c r="B31" s="65" t="str">
        <f>+'S&amp;D'!A37</f>
        <v>WEC Energy Group</v>
      </c>
      <c r="C31" s="93" t="str">
        <f>+'S&amp;D'!B37</f>
        <v>WEC</v>
      </c>
      <c r="D31" s="190">
        <f>+'S&amp;D'!G37</f>
        <v>84.17</v>
      </c>
      <c r="E31" s="310">
        <v>30.1</v>
      </c>
      <c r="F31" s="74">
        <f t="shared" si="5"/>
        <v>2.7963455149501661</v>
      </c>
      <c r="G31" s="59">
        <f t="shared" si="0"/>
        <v>0.35760959961981703</v>
      </c>
      <c r="H31" s="310">
        <v>37.9</v>
      </c>
      <c r="I31" s="74">
        <f t="shared" si="1"/>
        <v>2.2208443271767813</v>
      </c>
      <c r="J31" s="59">
        <f t="shared" si="2"/>
        <v>0.45027919686349049</v>
      </c>
    </row>
    <row r="32" spans="2:10" ht="10.5" customHeight="1" thickBot="1">
      <c r="B32" s="13"/>
      <c r="C32" s="73"/>
      <c r="D32" s="73"/>
      <c r="E32" s="73"/>
      <c r="F32" s="73"/>
      <c r="G32" s="299"/>
      <c r="H32" s="73"/>
      <c r="I32" s="73"/>
      <c r="J32" s="299"/>
    </row>
    <row r="33" spans="1:10" ht="17.5" thickTop="1">
      <c r="B33" s="13"/>
      <c r="D33" s="15" t="s">
        <v>65</v>
      </c>
      <c r="E33" s="17"/>
      <c r="F33" s="325">
        <f>MAX(F16:F31)</f>
        <v>3.062686567164179</v>
      </c>
      <c r="G33" s="311">
        <f>MAX(G16:G31)</f>
        <v>0.65526936332305463</v>
      </c>
      <c r="H33" s="17"/>
      <c r="I33" s="17">
        <f t="shared" ref="I33:J33" si="6">MAX(I16:I31)</f>
        <v>2.7277688603531303</v>
      </c>
      <c r="J33" s="311">
        <f t="shared" si="6"/>
        <v>0.84482758620689657</v>
      </c>
    </row>
    <row r="34" spans="1:10" ht="17">
      <c r="B34" s="13"/>
      <c r="D34" s="15" t="s">
        <v>66</v>
      </c>
      <c r="E34" s="315"/>
      <c r="F34" s="328">
        <f>MIN(F16:F31)</f>
        <v>1.5260899653979239</v>
      </c>
      <c r="G34" s="312">
        <f>MIN(G16:G31)</f>
        <v>0.32651072124756336</v>
      </c>
      <c r="H34" s="315"/>
      <c r="I34" s="315">
        <f t="shared" ref="I34:J34" si="7">MIN(I16:I31)</f>
        <v>1.1836734693877551</v>
      </c>
      <c r="J34" s="312">
        <f t="shared" si="7"/>
        <v>0.36659997646228076</v>
      </c>
    </row>
    <row r="35" spans="1:10" ht="17">
      <c r="B35" s="13"/>
      <c r="D35" s="15" t="s">
        <v>18</v>
      </c>
      <c r="E35" s="59" t="s">
        <v>0</v>
      </c>
      <c r="F35" s="22">
        <f>MEDIAN(F16:F31)</f>
        <v>2.120290404040404</v>
      </c>
      <c r="G35" s="59">
        <f>MEDIAN(G16:G31)</f>
        <v>0.47163466426452832</v>
      </c>
      <c r="H35" s="59" t="s">
        <v>0</v>
      </c>
      <c r="I35" s="22">
        <f>MEDIAN(I16:I31)</f>
        <v>1.7062655370812472</v>
      </c>
      <c r="J35" s="59">
        <f>MEDIAN(J16:J31)</f>
        <v>0.58615593207086403</v>
      </c>
    </row>
    <row r="36" spans="1:10" ht="17">
      <c r="B36" s="13"/>
      <c r="D36" s="15" t="s">
        <v>19</v>
      </c>
      <c r="E36" s="75" t="s">
        <v>0</v>
      </c>
      <c r="F36" s="22">
        <f>AVERAGE(F16:F31)</f>
        <v>2.2119576524965647</v>
      </c>
      <c r="G36" s="59">
        <f>AVERAGE(G16:G31)</f>
        <v>0.46954967405194098</v>
      </c>
      <c r="H36" s="75" t="s">
        <v>0</v>
      </c>
      <c r="I36" s="22">
        <f>AVERAGE(I16:I31)</f>
        <v>1.7667087743277077</v>
      </c>
      <c r="J36" s="59">
        <f>AVERAGE(J16:J31)</f>
        <v>0.59851008427606822</v>
      </c>
    </row>
    <row r="37" spans="1:10" ht="17.5" thickBot="1">
      <c r="B37" s="13"/>
      <c r="C37" s="13"/>
      <c r="D37" s="13"/>
      <c r="E37" s="13"/>
      <c r="F37" s="13"/>
      <c r="H37" s="13"/>
      <c r="I37" s="13"/>
    </row>
    <row r="38" spans="1:10" ht="26" thickBot="1">
      <c r="B38" s="77" t="s">
        <v>0</v>
      </c>
      <c r="C38" s="13"/>
      <c r="D38" s="25" t="s">
        <v>158</v>
      </c>
      <c r="E38" s="25"/>
      <c r="F38" s="357">
        <v>2.21</v>
      </c>
      <c r="I38" s="357">
        <v>1.77</v>
      </c>
    </row>
    <row r="39" spans="1:10" ht="17">
      <c r="B39" s="77" t="s">
        <v>0</v>
      </c>
      <c r="C39" s="13"/>
      <c r="D39" s="13"/>
      <c r="E39" s="13"/>
      <c r="F39" s="13"/>
      <c r="G39" s="13"/>
      <c r="H39" s="13"/>
    </row>
    <row r="40" spans="1:10" ht="17">
      <c r="B40" s="77"/>
      <c r="C40" s="13"/>
      <c r="D40" s="13"/>
      <c r="E40" s="13"/>
      <c r="F40" s="13"/>
      <c r="G40" s="13"/>
      <c r="H40" s="13"/>
    </row>
    <row r="41" spans="1:10" ht="17.5">
      <c r="A41" s="113" t="s">
        <v>395</v>
      </c>
      <c r="B41" s="77"/>
      <c r="C41" s="13"/>
      <c r="D41" s="13"/>
      <c r="E41" s="13"/>
      <c r="F41" s="13"/>
      <c r="G41" s="13"/>
      <c r="H41" s="13"/>
    </row>
    <row r="42" spans="1:10" ht="17.5">
      <c r="A42" s="113" t="s">
        <v>396</v>
      </c>
      <c r="B42" s="77"/>
      <c r="C42" s="13"/>
      <c r="D42" s="13"/>
      <c r="E42" s="13"/>
      <c r="F42" s="13"/>
      <c r="G42" s="13"/>
      <c r="H42" s="13"/>
    </row>
    <row r="43" spans="1:10" ht="17">
      <c r="H43" s="13"/>
    </row>
    <row r="44" spans="1:10" ht="17.5">
      <c r="A44" s="113" t="s">
        <v>397</v>
      </c>
      <c r="H44" s="13"/>
    </row>
    <row r="45" spans="1:10" ht="17.5">
      <c r="A45" s="113" t="s">
        <v>398</v>
      </c>
    </row>
    <row r="46" spans="1:10" ht="17.5">
      <c r="A46" s="113" t="s">
        <v>399</v>
      </c>
    </row>
    <row r="53" spans="1:3" ht="17.5">
      <c r="A53" s="113"/>
      <c r="C53" s="287" t="s">
        <v>0</v>
      </c>
    </row>
    <row r="54" spans="1:3" ht="17.5">
      <c r="C54" s="287" t="s">
        <v>0</v>
      </c>
    </row>
    <row r="55" spans="1:3" ht="17.5">
      <c r="C55" s="287" t="s">
        <v>0</v>
      </c>
    </row>
  </sheetData>
  <pageMargins left="0.25" right="0.25" top="0.75" bottom="0.75" header="0.3" footer="0.3"/>
  <pageSetup scale="42" orientation="landscape" r:id="rId1"/>
  <rowBreaks count="1" manualBreakCount="1">
    <brk id="4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topLeftCell="A10" zoomScale="80" zoomScaleNormal="80" zoomScaleSheetLayoutView="80" workbookViewId="0">
      <selection activeCell="G14" sqref="G14"/>
    </sheetView>
  </sheetViews>
  <sheetFormatPr defaultRowHeight="14.5"/>
  <cols>
    <col min="1" max="1" width="22.26953125" customWidth="1"/>
    <col min="2" max="2" width="39.7265625" customWidth="1"/>
    <col min="3" max="3" width="16.81640625" customWidth="1"/>
    <col min="4" max="4" width="35.26953125" customWidth="1"/>
    <col min="5" max="5" width="18" customWidth="1"/>
    <col min="6" max="6" width="20.81640625" bestFit="1" customWidth="1"/>
    <col min="7" max="7" width="22" customWidth="1"/>
    <col min="8" max="8" width="23.7265625" customWidth="1"/>
  </cols>
  <sheetData>
    <row r="1" spans="1:11" ht="25.5">
      <c r="A1" s="25" t="s">
        <v>1</v>
      </c>
      <c r="C1" s="13"/>
      <c r="D1" s="13"/>
      <c r="E1" s="13"/>
      <c r="F1" s="13"/>
      <c r="G1" s="13"/>
      <c r="H1" s="13"/>
      <c r="I1" s="13"/>
      <c r="J1" s="13"/>
      <c r="K1" s="13"/>
    </row>
    <row r="2" spans="1:11" ht="17.5">
      <c r="A2" s="26" t="s">
        <v>9</v>
      </c>
      <c r="C2" s="13"/>
      <c r="D2" s="13"/>
      <c r="E2" s="13"/>
      <c r="F2" s="13"/>
      <c r="G2" s="13"/>
      <c r="H2" s="13"/>
      <c r="I2" s="13"/>
      <c r="J2" s="13"/>
      <c r="K2" s="13"/>
    </row>
    <row r="3" spans="1:11" ht="17.25" customHeight="1">
      <c r="A3" s="27" t="s">
        <v>483</v>
      </c>
      <c r="C3" s="13"/>
      <c r="D3" s="13"/>
      <c r="E3" s="13"/>
      <c r="F3" s="13"/>
      <c r="G3" s="13"/>
      <c r="H3" s="13"/>
      <c r="I3" s="13"/>
      <c r="J3" s="13"/>
      <c r="K3" s="13"/>
    </row>
    <row r="4" spans="1:11" ht="17.25" customHeight="1">
      <c r="B4" s="27"/>
      <c r="C4" s="13"/>
      <c r="D4" s="13"/>
      <c r="E4" s="13"/>
      <c r="F4" s="13"/>
      <c r="G4" s="13"/>
      <c r="H4" s="13"/>
      <c r="I4" s="13"/>
      <c r="J4" s="13"/>
      <c r="K4" s="13"/>
    </row>
    <row r="5" spans="1:11" ht="17.25" customHeight="1">
      <c r="B5" s="149"/>
      <c r="C5" s="13"/>
      <c r="D5" s="13"/>
      <c r="E5" s="13"/>
      <c r="F5" s="13"/>
      <c r="G5" s="13"/>
      <c r="H5" s="13"/>
      <c r="I5" s="13"/>
      <c r="J5" s="13"/>
      <c r="K5" s="13"/>
    </row>
    <row r="6" spans="1:11" ht="17.25" customHeight="1">
      <c r="B6" s="149"/>
      <c r="C6" s="13"/>
      <c r="D6" s="13"/>
      <c r="E6" s="13"/>
      <c r="F6" s="13"/>
      <c r="G6" s="13"/>
      <c r="H6" s="13"/>
      <c r="I6" s="13"/>
      <c r="J6" s="13"/>
      <c r="K6" s="13"/>
    </row>
    <row r="7" spans="1:11" ht="17.25" customHeight="1">
      <c r="B7" s="149"/>
      <c r="C7" s="13"/>
      <c r="D7" s="13"/>
      <c r="E7" s="13"/>
      <c r="F7" s="13"/>
      <c r="G7" s="13"/>
      <c r="H7" s="13"/>
      <c r="I7" s="13"/>
      <c r="J7" s="13"/>
      <c r="K7" s="13"/>
    </row>
    <row r="8" spans="1:11" ht="17">
      <c r="B8" s="27"/>
      <c r="C8" s="13"/>
      <c r="D8" s="13"/>
      <c r="E8" s="13"/>
      <c r="F8" s="13"/>
      <c r="G8" s="13"/>
      <c r="H8" s="13"/>
      <c r="I8" s="13"/>
      <c r="J8" s="13"/>
      <c r="K8" s="13"/>
    </row>
    <row r="9" spans="1:11" ht="21">
      <c r="B9" s="13"/>
      <c r="C9" s="13"/>
      <c r="D9" s="80" t="s">
        <v>0</v>
      </c>
      <c r="E9" s="13"/>
      <c r="F9" s="13"/>
      <c r="G9" s="13"/>
      <c r="H9" s="13"/>
      <c r="I9" s="13"/>
      <c r="J9" s="13"/>
      <c r="K9" s="13"/>
    </row>
    <row r="10" spans="1:11" ht="21">
      <c r="B10" s="13"/>
      <c r="C10" s="13"/>
      <c r="D10" s="80" t="s">
        <v>98</v>
      </c>
      <c r="E10" s="13"/>
      <c r="F10" s="13"/>
      <c r="G10" s="13"/>
      <c r="H10" s="13"/>
      <c r="I10" s="13"/>
      <c r="J10" s="13"/>
      <c r="K10" s="13"/>
    </row>
    <row r="11" spans="1:11" ht="17">
      <c r="B11" s="13"/>
      <c r="C11" s="13"/>
      <c r="D11" s="13"/>
      <c r="E11" s="13"/>
      <c r="F11" s="13"/>
      <c r="G11" s="13"/>
      <c r="H11" s="13"/>
      <c r="I11" s="13"/>
      <c r="J11" s="13"/>
      <c r="K11" s="13"/>
    </row>
    <row r="12" spans="1:11" ht="17">
      <c r="B12" s="13"/>
      <c r="C12" s="13"/>
      <c r="D12" s="13"/>
      <c r="E12" s="13"/>
      <c r="F12" s="13"/>
      <c r="G12" s="13"/>
      <c r="H12" s="13"/>
      <c r="I12" s="13"/>
      <c r="J12" s="13"/>
      <c r="K12" s="13"/>
    </row>
    <row r="13" spans="1:11" ht="17">
      <c r="B13" s="13"/>
      <c r="C13" s="13"/>
      <c r="D13" s="13"/>
      <c r="E13" s="28"/>
      <c r="F13" s="13"/>
      <c r="G13" s="13"/>
      <c r="H13" s="13"/>
      <c r="I13" s="13"/>
      <c r="J13" s="13"/>
      <c r="K13" s="13"/>
    </row>
    <row r="14" spans="1:11" ht="17">
      <c r="B14" s="13"/>
      <c r="C14" s="13"/>
      <c r="D14" s="13"/>
      <c r="E14" s="13"/>
      <c r="F14" s="13"/>
      <c r="G14" s="13"/>
      <c r="H14" s="13"/>
      <c r="I14" s="13"/>
      <c r="J14" s="13"/>
      <c r="K14" s="13"/>
    </row>
    <row r="15" spans="1:11" ht="17.5" thickBot="1">
      <c r="B15" s="13"/>
      <c r="C15" s="30"/>
      <c r="D15" s="30"/>
      <c r="E15" s="30"/>
      <c r="F15" s="13"/>
      <c r="G15" s="13"/>
      <c r="H15" s="13"/>
      <c r="I15" s="13"/>
      <c r="J15" s="13"/>
      <c r="K15" s="13"/>
    </row>
    <row r="16" spans="1:11" ht="25.5">
      <c r="B16" s="13"/>
      <c r="C16" s="13"/>
      <c r="D16" s="33" t="str">
        <f>+'S&amp;D'!A12</f>
        <v>Electric Utilities</v>
      </c>
      <c r="E16" s="13"/>
      <c r="F16" s="13"/>
      <c r="G16" s="13"/>
      <c r="H16" s="13"/>
      <c r="I16" s="13"/>
      <c r="J16" s="13"/>
      <c r="K16" s="13"/>
    </row>
    <row r="17" spans="2:11" ht="17.5" thickBot="1">
      <c r="B17" s="13"/>
      <c r="C17" s="30"/>
      <c r="D17" s="38" t="s">
        <v>0</v>
      </c>
      <c r="E17" s="30"/>
      <c r="F17" s="13"/>
      <c r="G17" s="13"/>
      <c r="H17" s="13"/>
      <c r="I17" s="13"/>
      <c r="J17" s="13"/>
      <c r="K17" s="13"/>
    </row>
    <row r="18" spans="2:11" ht="17.5" thickBot="1">
      <c r="B18" s="30"/>
      <c r="C18" s="30"/>
      <c r="D18" s="38" t="s">
        <v>0</v>
      </c>
      <c r="E18" s="30"/>
      <c r="F18" s="30"/>
      <c r="G18" s="30"/>
      <c r="H18" s="13"/>
      <c r="I18" s="13"/>
      <c r="J18" s="13"/>
      <c r="K18" s="13"/>
    </row>
    <row r="19" spans="2:11" ht="17">
      <c r="B19" s="36" t="s">
        <v>32</v>
      </c>
      <c r="C19" s="36" t="s">
        <v>33</v>
      </c>
      <c r="D19" s="36" t="s">
        <v>34</v>
      </c>
      <c r="E19" s="36" t="s">
        <v>102</v>
      </c>
      <c r="F19" s="36" t="s">
        <v>34</v>
      </c>
      <c r="G19" s="36" t="s">
        <v>35</v>
      </c>
      <c r="H19" s="13"/>
      <c r="I19" s="13"/>
      <c r="J19" s="13"/>
      <c r="K19" s="13"/>
    </row>
    <row r="20" spans="2:11" ht="17.5" thickBot="1">
      <c r="B20" s="38" t="s">
        <v>33</v>
      </c>
      <c r="C20" s="38" t="s">
        <v>36</v>
      </c>
      <c r="D20" s="38" t="s">
        <v>37</v>
      </c>
      <c r="E20" s="38" t="s">
        <v>23</v>
      </c>
      <c r="F20" s="38" t="s">
        <v>38</v>
      </c>
      <c r="G20" s="38" t="s">
        <v>39</v>
      </c>
      <c r="H20" s="13"/>
      <c r="I20" s="13"/>
      <c r="J20" s="13"/>
      <c r="K20" s="13"/>
    </row>
    <row r="21" spans="2:11" ht="17">
      <c r="B21" s="40" t="s">
        <v>0</v>
      </c>
      <c r="C21" s="40" t="s">
        <v>0</v>
      </c>
      <c r="D21" s="40" t="s">
        <v>0</v>
      </c>
      <c r="E21" s="40" t="s">
        <v>0</v>
      </c>
      <c r="F21" s="40" t="s">
        <v>0</v>
      </c>
      <c r="G21" s="40" t="s">
        <v>0</v>
      </c>
      <c r="H21" s="13"/>
      <c r="I21" s="13"/>
      <c r="J21" s="13"/>
      <c r="K21" s="13"/>
    </row>
    <row r="22" spans="2:11" ht="17">
      <c r="B22" s="36"/>
      <c r="C22" s="36"/>
      <c r="D22" s="36"/>
      <c r="E22" s="36"/>
      <c r="F22" s="36"/>
      <c r="G22" s="36"/>
      <c r="H22" s="13"/>
      <c r="I22" s="13"/>
      <c r="J22" s="13"/>
      <c r="K22" s="13"/>
    </row>
    <row r="23" spans="2:11" ht="17.5">
      <c r="B23" s="93" t="s">
        <v>40</v>
      </c>
      <c r="C23" s="141">
        <f>'S&amp;D'!I68</f>
        <v>0.56999999999999995</v>
      </c>
      <c r="D23" s="141">
        <f>+'Indicated Yield Equity Rate '!D51</f>
        <v>9.0300000000000005E-2</v>
      </c>
      <c r="E23" s="107" t="s">
        <v>41</v>
      </c>
      <c r="F23" s="141">
        <f>+D23</f>
        <v>9.0300000000000005E-2</v>
      </c>
      <c r="G23" s="142">
        <f>+F23*C23</f>
        <v>5.1470999999999996E-2</v>
      </c>
      <c r="H23" s="13"/>
      <c r="I23" s="13"/>
      <c r="J23" s="13"/>
      <c r="K23" s="13"/>
    </row>
    <row r="24" spans="2:11" ht="17.5">
      <c r="B24" s="93" t="s">
        <v>0</v>
      </c>
      <c r="C24" s="107" t="s">
        <v>0</v>
      </c>
      <c r="D24" s="107" t="s">
        <v>0</v>
      </c>
      <c r="E24" s="107" t="s">
        <v>0</v>
      </c>
      <c r="F24" s="143" t="s">
        <v>0</v>
      </c>
      <c r="G24" s="125" t="s">
        <v>0</v>
      </c>
      <c r="H24" s="13"/>
      <c r="I24" s="13"/>
      <c r="J24" s="13"/>
      <c r="K24" s="13"/>
    </row>
    <row r="25" spans="2:11" ht="17.5">
      <c r="B25" s="93" t="s">
        <v>42</v>
      </c>
      <c r="C25" s="141">
        <f>'S&amp;D'!J68</f>
        <v>0.43</v>
      </c>
      <c r="D25" s="141">
        <f>+'Yield Debt'!J38</f>
        <v>5.7599999999999998E-2</v>
      </c>
      <c r="E25" s="141">
        <v>0.26</v>
      </c>
      <c r="F25" s="141">
        <f>+D25*(1-E25)</f>
        <v>4.2623999999999995E-2</v>
      </c>
      <c r="G25" s="142">
        <f>+C25*F25</f>
        <v>1.8328319999999999E-2</v>
      </c>
      <c r="H25" s="13"/>
      <c r="I25" s="13"/>
      <c r="J25" s="13"/>
      <c r="K25" s="13"/>
    </row>
    <row r="26" spans="2:11" ht="18" thickBot="1">
      <c r="B26" s="100" t="s">
        <v>0</v>
      </c>
      <c r="C26" s="100" t="s">
        <v>0</v>
      </c>
      <c r="D26" s="100" t="s">
        <v>0</v>
      </c>
      <c r="E26" s="100" t="s">
        <v>0</v>
      </c>
      <c r="F26" s="144" t="s">
        <v>0</v>
      </c>
      <c r="G26" s="145" t="s">
        <v>0</v>
      </c>
      <c r="H26" s="13"/>
      <c r="I26" s="13"/>
      <c r="J26" s="13"/>
      <c r="K26" s="13"/>
    </row>
    <row r="27" spans="2:11" ht="17.5">
      <c r="B27" s="93" t="s">
        <v>105</v>
      </c>
      <c r="C27" s="146">
        <f>+C23+C25</f>
        <v>1</v>
      </c>
      <c r="D27" s="93" t="s">
        <v>0</v>
      </c>
      <c r="E27" s="93" t="s">
        <v>0</v>
      </c>
      <c r="F27" s="147" t="s">
        <v>0</v>
      </c>
      <c r="G27" s="142">
        <f>+G23+G25</f>
        <v>6.9799319999999998E-2</v>
      </c>
      <c r="H27" s="13"/>
      <c r="I27" s="13"/>
      <c r="J27" s="13"/>
      <c r="K27" s="13"/>
    </row>
    <row r="28" spans="2:11" ht="18" thickBot="1">
      <c r="B28" s="65"/>
      <c r="C28" s="65"/>
      <c r="D28" s="65"/>
      <c r="E28" s="65"/>
      <c r="F28" s="65"/>
      <c r="G28" s="148"/>
      <c r="H28" s="13"/>
      <c r="I28" s="13"/>
      <c r="J28" s="13"/>
      <c r="K28" s="13"/>
    </row>
    <row r="29" spans="2:11" ht="18" thickBot="1">
      <c r="B29" s="13"/>
      <c r="C29" s="13"/>
      <c r="D29" s="13"/>
      <c r="E29" s="13"/>
      <c r="F29" s="213" t="s">
        <v>108</v>
      </c>
      <c r="G29" s="197">
        <v>6.9800000000000001E-2</v>
      </c>
      <c r="H29" s="13"/>
      <c r="I29" s="13"/>
      <c r="J29" s="13"/>
      <c r="K29" s="13"/>
    </row>
    <row r="30" spans="2:11" ht="17">
      <c r="B30" s="13"/>
      <c r="C30" s="13"/>
      <c r="D30" s="13"/>
      <c r="E30" s="13"/>
      <c r="F30" s="13"/>
      <c r="G30" s="13"/>
      <c r="H30" s="13"/>
      <c r="I30" s="13"/>
      <c r="J30" s="13"/>
      <c r="K30" s="13"/>
    </row>
    <row r="31" spans="2:11" ht="17">
      <c r="B31" s="13"/>
      <c r="C31" s="13"/>
      <c r="D31" s="13"/>
      <c r="E31" s="13"/>
      <c r="F31" s="13"/>
      <c r="G31" s="13"/>
      <c r="H31" s="13"/>
      <c r="I31" s="13"/>
      <c r="J31" s="13"/>
      <c r="K31" s="13"/>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K2" sqref="K2"/>
    </sheetView>
  </sheetViews>
  <sheetFormatPr defaultRowHeight="1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17" zoomScale="80" zoomScaleNormal="80" zoomScaleSheetLayoutView="80" workbookViewId="0">
      <selection activeCell="F40" sqref="F40"/>
    </sheetView>
  </sheetViews>
  <sheetFormatPr defaultRowHeight="14.5"/>
  <cols>
    <col min="1" max="1" width="17.26953125" customWidth="1"/>
    <col min="2" max="2" width="31.7265625" customWidth="1"/>
    <col min="3" max="3" width="16.54296875" customWidth="1"/>
    <col min="4" max="4" width="35.26953125" customWidth="1"/>
    <col min="5" max="5" width="14.81640625" customWidth="1"/>
    <col min="6" max="6" width="25.81640625" customWidth="1"/>
    <col min="7" max="7" width="24.1796875" customWidth="1"/>
    <col min="8" max="8" width="17.7265625" customWidth="1"/>
  </cols>
  <sheetData>
    <row r="1" spans="1:11" ht="25.5">
      <c r="A1" s="25" t="s">
        <v>1</v>
      </c>
      <c r="C1" s="13"/>
      <c r="D1" s="13"/>
      <c r="E1" s="13"/>
      <c r="F1" s="13"/>
      <c r="G1" s="13"/>
      <c r="H1" s="13"/>
      <c r="I1" s="13"/>
      <c r="J1" s="13"/>
      <c r="K1" s="13"/>
    </row>
    <row r="2" spans="1:11" ht="17.5">
      <c r="A2" s="26" t="s">
        <v>9</v>
      </c>
      <c r="C2" s="13"/>
      <c r="D2" s="13"/>
      <c r="E2" s="13"/>
      <c r="F2" s="13"/>
      <c r="G2" s="13"/>
      <c r="H2" s="13"/>
      <c r="I2" s="13"/>
      <c r="J2" s="13"/>
      <c r="K2" s="13"/>
    </row>
    <row r="3" spans="1:11" ht="17">
      <c r="A3" s="27" t="s">
        <v>483</v>
      </c>
      <c r="C3" s="13"/>
      <c r="D3" s="13"/>
      <c r="E3" s="13"/>
      <c r="F3" s="13"/>
      <c r="G3" s="13"/>
      <c r="H3" s="13"/>
      <c r="I3" s="13"/>
      <c r="J3" s="13"/>
      <c r="K3" s="13"/>
    </row>
    <row r="4" spans="1:11" ht="17">
      <c r="B4" s="27"/>
      <c r="C4" s="13"/>
      <c r="D4" s="13"/>
      <c r="E4" s="13"/>
      <c r="F4" s="13"/>
      <c r="G4" s="13"/>
      <c r="H4" s="13"/>
      <c r="I4" s="13"/>
      <c r="J4" s="13"/>
      <c r="K4" s="13"/>
    </row>
    <row r="5" spans="1:11" ht="17">
      <c r="B5" s="27"/>
      <c r="C5" s="13"/>
      <c r="D5" s="13"/>
      <c r="E5" s="13"/>
      <c r="F5" s="13"/>
      <c r="G5" s="13"/>
      <c r="H5" s="13"/>
      <c r="I5" s="13"/>
      <c r="J5" s="13"/>
      <c r="K5" s="13"/>
    </row>
    <row r="6" spans="1:11" ht="17">
      <c r="B6" s="27"/>
      <c r="C6" s="13"/>
      <c r="D6" s="13"/>
      <c r="E6" s="13"/>
      <c r="F6" s="13"/>
      <c r="G6" s="13"/>
      <c r="H6" s="13"/>
      <c r="I6" s="13"/>
      <c r="J6" s="13"/>
      <c r="K6" s="13"/>
    </row>
    <row r="7" spans="1:11" ht="17">
      <c r="B7" s="27"/>
      <c r="C7" s="13"/>
      <c r="D7" s="13"/>
      <c r="E7" s="13"/>
      <c r="F7" s="13"/>
      <c r="G7" s="13"/>
      <c r="H7" s="13"/>
      <c r="I7" s="13"/>
      <c r="J7" s="13"/>
      <c r="K7" s="13"/>
    </row>
    <row r="8" spans="1:11" ht="17">
      <c r="B8" s="27"/>
      <c r="C8" s="13"/>
      <c r="D8" s="13"/>
      <c r="E8" s="13"/>
      <c r="F8" s="13"/>
      <c r="G8" s="13"/>
      <c r="H8" s="13"/>
      <c r="I8" s="13"/>
      <c r="J8" s="13"/>
      <c r="K8" s="13"/>
    </row>
    <row r="9" spans="1:11" ht="17">
      <c r="B9" s="27"/>
      <c r="C9" s="13"/>
      <c r="D9" s="13"/>
      <c r="E9" s="13"/>
      <c r="F9" s="13"/>
      <c r="G9" s="13"/>
      <c r="H9" s="13"/>
      <c r="I9" s="13"/>
      <c r="J9" s="13"/>
      <c r="K9" s="13"/>
    </row>
    <row r="10" spans="1:11" ht="21">
      <c r="B10" s="13"/>
      <c r="C10" s="13"/>
      <c r="D10" s="80" t="s">
        <v>0</v>
      </c>
      <c r="E10" s="13"/>
      <c r="F10" s="13"/>
      <c r="G10" s="13"/>
      <c r="H10" s="13"/>
      <c r="I10" s="13"/>
      <c r="J10" s="13"/>
      <c r="K10" s="13"/>
    </row>
    <row r="11" spans="1:11" ht="21">
      <c r="B11" s="13"/>
      <c r="C11" s="13"/>
      <c r="D11" s="80" t="s">
        <v>97</v>
      </c>
      <c r="E11" s="13"/>
      <c r="F11" s="13"/>
      <c r="G11" s="13"/>
      <c r="H11" s="13"/>
      <c r="I11" s="13"/>
      <c r="J11" s="13"/>
      <c r="K11" s="13"/>
    </row>
    <row r="12" spans="1:11" ht="17">
      <c r="B12" s="13"/>
      <c r="C12" s="13"/>
      <c r="D12" s="13"/>
      <c r="E12" s="13"/>
      <c r="F12" s="13"/>
      <c r="G12" s="13"/>
      <c r="H12" s="13"/>
      <c r="I12" s="13"/>
      <c r="J12" s="13"/>
      <c r="K12" s="13"/>
    </row>
    <row r="13" spans="1:11" ht="17">
      <c r="B13" s="13"/>
      <c r="C13" s="13"/>
      <c r="D13" s="13"/>
      <c r="E13" s="13"/>
      <c r="F13" s="13"/>
      <c r="G13" s="13"/>
      <c r="H13" s="13"/>
      <c r="I13" s="13"/>
      <c r="J13" s="13"/>
      <c r="K13" s="13"/>
    </row>
    <row r="14" spans="1:11" ht="17.5" thickBot="1">
      <c r="B14" s="13"/>
      <c r="C14" s="30"/>
      <c r="D14" s="30"/>
      <c r="E14" s="30"/>
      <c r="F14" s="13"/>
      <c r="G14" s="13"/>
      <c r="H14" s="13"/>
      <c r="I14" s="13"/>
      <c r="J14" s="13"/>
      <c r="K14" s="13"/>
    </row>
    <row r="15" spans="1:11" ht="25.5">
      <c r="B15" s="13"/>
      <c r="C15" s="13"/>
      <c r="D15" s="33" t="str">
        <f>+'S&amp;D'!A12</f>
        <v>Electric Utilities</v>
      </c>
      <c r="E15" s="13"/>
      <c r="F15" s="13"/>
      <c r="G15" s="13"/>
      <c r="H15" s="13"/>
      <c r="I15" s="13"/>
      <c r="J15" s="13"/>
      <c r="K15" s="13"/>
    </row>
    <row r="16" spans="1:11" ht="21.5" thickBot="1">
      <c r="B16" s="13"/>
      <c r="C16" s="30"/>
      <c r="D16" s="140" t="s">
        <v>104</v>
      </c>
      <c r="E16" s="30"/>
      <c r="F16" s="13"/>
      <c r="G16" s="13"/>
      <c r="H16" s="13"/>
      <c r="I16" s="13"/>
      <c r="J16" s="13"/>
      <c r="K16" s="13"/>
    </row>
    <row r="17" spans="2:11" ht="17">
      <c r="H17" s="13"/>
      <c r="I17" s="13"/>
      <c r="J17" s="13"/>
      <c r="K17" s="13"/>
    </row>
    <row r="18" spans="2:11" ht="17.5" thickBot="1">
      <c r="B18" s="30"/>
      <c r="C18" s="30"/>
      <c r="D18" s="38" t="s">
        <v>0</v>
      </c>
      <c r="E18" s="30"/>
      <c r="F18" s="30"/>
      <c r="G18" s="30"/>
      <c r="H18" s="13"/>
      <c r="I18" s="13"/>
      <c r="J18" s="13"/>
      <c r="K18" s="13"/>
    </row>
    <row r="19" spans="2:11" ht="17">
      <c r="B19" s="36" t="s">
        <v>32</v>
      </c>
      <c r="C19" s="36" t="s">
        <v>33</v>
      </c>
      <c r="D19" s="36" t="s">
        <v>101</v>
      </c>
      <c r="E19" s="36" t="s">
        <v>102</v>
      </c>
      <c r="F19" s="36" t="s">
        <v>100</v>
      </c>
      <c r="G19" s="36" t="s">
        <v>35</v>
      </c>
      <c r="H19" s="13"/>
      <c r="I19" s="13"/>
      <c r="J19" s="13"/>
      <c r="K19" s="13"/>
    </row>
    <row r="20" spans="2:11" ht="17.5" thickBot="1">
      <c r="B20" s="38" t="s">
        <v>33</v>
      </c>
      <c r="C20" s="38" t="s">
        <v>36</v>
      </c>
      <c r="D20" s="38" t="s">
        <v>37</v>
      </c>
      <c r="E20" s="38" t="s">
        <v>23</v>
      </c>
      <c r="F20" s="38" t="s">
        <v>38</v>
      </c>
      <c r="G20" s="38" t="s">
        <v>103</v>
      </c>
      <c r="H20" s="13"/>
      <c r="I20" s="13"/>
      <c r="J20" s="13"/>
      <c r="K20" s="13"/>
    </row>
    <row r="21" spans="2:11" ht="17">
      <c r="B21" s="40" t="s">
        <v>0</v>
      </c>
      <c r="C21" s="40" t="s">
        <v>0</v>
      </c>
      <c r="D21" s="40" t="s">
        <v>0</v>
      </c>
      <c r="E21" s="40" t="s">
        <v>0</v>
      </c>
      <c r="F21" s="40" t="s">
        <v>0</v>
      </c>
      <c r="G21" s="40" t="s">
        <v>0</v>
      </c>
      <c r="H21" s="13"/>
      <c r="I21" s="13"/>
      <c r="J21" s="13"/>
      <c r="K21" s="13"/>
    </row>
    <row r="22" spans="2:11" ht="17">
      <c r="B22" s="36"/>
      <c r="C22" s="36"/>
      <c r="D22" s="36"/>
      <c r="E22" s="36"/>
      <c r="F22" s="36"/>
      <c r="G22" s="36"/>
      <c r="H22" s="13"/>
      <c r="I22" s="13"/>
      <c r="J22" s="13"/>
      <c r="K22" s="13"/>
    </row>
    <row r="23" spans="2:11" ht="17.5">
      <c r="B23" s="93" t="s">
        <v>40</v>
      </c>
      <c r="C23" s="141">
        <f>'S&amp;D'!I68</f>
        <v>0.56999999999999995</v>
      </c>
      <c r="D23" s="141">
        <f>+'Direct NOPAT'!J42</f>
        <v>5.885E-2</v>
      </c>
      <c r="E23" s="107" t="s">
        <v>41</v>
      </c>
      <c r="F23" s="141">
        <f>+D23</f>
        <v>5.885E-2</v>
      </c>
      <c r="G23" s="142">
        <f>+F23*C23</f>
        <v>3.3544499999999998E-2</v>
      </c>
      <c r="H23" s="13"/>
      <c r="I23" s="13"/>
      <c r="J23" s="13"/>
      <c r="K23" s="13"/>
    </row>
    <row r="24" spans="2:11" ht="17.5">
      <c r="B24" s="93" t="s">
        <v>0</v>
      </c>
      <c r="C24" s="107" t="s">
        <v>0</v>
      </c>
      <c r="D24" s="107" t="s">
        <v>0</v>
      </c>
      <c r="E24" s="107" t="s">
        <v>0</v>
      </c>
      <c r="F24" s="143" t="s">
        <v>0</v>
      </c>
      <c r="G24" s="125" t="s">
        <v>0</v>
      </c>
      <c r="H24" s="13"/>
      <c r="I24" s="13"/>
      <c r="J24" s="13"/>
      <c r="K24" s="13"/>
    </row>
    <row r="25" spans="2:11" ht="17.5">
      <c r="B25" s="93" t="s">
        <v>42</v>
      </c>
      <c r="C25" s="141">
        <f>'S&amp;D'!J68</f>
        <v>0.43</v>
      </c>
      <c r="D25" s="141">
        <f>+'Direct Debt'!I41</f>
        <v>4.8000000000000001E-2</v>
      </c>
      <c r="E25" s="141">
        <v>0.26</v>
      </c>
      <c r="F25" s="141">
        <f>+D25*(1-E25)</f>
        <v>3.5520000000000003E-2</v>
      </c>
      <c r="G25" s="142">
        <f>+C25*F25</f>
        <v>1.5273600000000002E-2</v>
      </c>
      <c r="H25" s="13"/>
      <c r="I25" s="13"/>
      <c r="J25" s="13"/>
      <c r="K25" s="13"/>
    </row>
    <row r="26" spans="2:11" ht="18" thickBot="1">
      <c r="B26" s="100" t="s">
        <v>0</v>
      </c>
      <c r="C26" s="100" t="s">
        <v>0</v>
      </c>
      <c r="D26" s="100" t="s">
        <v>0</v>
      </c>
      <c r="E26" s="100" t="s">
        <v>0</v>
      </c>
      <c r="F26" s="144" t="s">
        <v>0</v>
      </c>
      <c r="G26" s="145" t="s">
        <v>0</v>
      </c>
      <c r="H26" s="13"/>
      <c r="I26" s="13"/>
      <c r="J26" s="13"/>
      <c r="K26" s="13"/>
    </row>
    <row r="27" spans="2:11" ht="17.5">
      <c r="B27" s="93" t="s">
        <v>43</v>
      </c>
      <c r="C27" s="146">
        <f>+C23+C25</f>
        <v>1</v>
      </c>
      <c r="D27" s="93" t="s">
        <v>0</v>
      </c>
      <c r="E27" s="93" t="s">
        <v>0</v>
      </c>
      <c r="F27" s="147" t="s">
        <v>0</v>
      </c>
      <c r="G27" s="142">
        <f>+G23+G25</f>
        <v>4.8818100000000003E-2</v>
      </c>
      <c r="H27" s="13"/>
      <c r="I27" s="13"/>
      <c r="J27" s="13"/>
      <c r="K27" s="13"/>
    </row>
    <row r="28" spans="2:11" ht="18" thickBot="1">
      <c r="B28" s="65"/>
      <c r="C28" s="65"/>
      <c r="D28" s="65"/>
      <c r="E28" s="65"/>
      <c r="F28" s="65"/>
      <c r="G28" s="148"/>
      <c r="H28" s="13"/>
      <c r="I28" s="13"/>
      <c r="J28" s="13"/>
      <c r="K28" s="13"/>
    </row>
    <row r="29" spans="2:11" ht="18" thickBot="1">
      <c r="B29" s="13"/>
      <c r="C29" s="13"/>
      <c r="D29" s="13"/>
      <c r="E29" s="13"/>
      <c r="F29" s="213" t="s">
        <v>108</v>
      </c>
      <c r="G29" s="197">
        <v>4.8800000000000003E-2</v>
      </c>
      <c r="H29" s="13"/>
      <c r="I29" s="13"/>
      <c r="J29" s="13"/>
      <c r="K29" s="13"/>
    </row>
    <row r="30" spans="2:11" ht="18" thickBot="1">
      <c r="B30" s="13"/>
      <c r="C30" s="13"/>
      <c r="D30" s="13"/>
      <c r="E30" s="13"/>
      <c r="F30" s="147"/>
      <c r="G30" s="142"/>
      <c r="H30" s="13"/>
      <c r="I30" s="13"/>
      <c r="J30" s="13"/>
      <c r="K30" s="13"/>
    </row>
    <row r="31" spans="2:11" ht="18" thickBot="1">
      <c r="B31" s="13"/>
      <c r="C31" s="13"/>
      <c r="D31" s="13"/>
      <c r="E31" s="13"/>
      <c r="F31" s="213" t="s">
        <v>269</v>
      </c>
      <c r="G31" s="248">
        <f>1/G29</f>
        <v>20.491803278688522</v>
      </c>
      <c r="H31" s="13"/>
      <c r="I31" s="13"/>
      <c r="J31" s="13"/>
      <c r="K31" s="13"/>
    </row>
    <row r="32" spans="2:11" ht="17.5">
      <c r="B32" s="13"/>
      <c r="C32" s="13"/>
      <c r="D32" s="13"/>
      <c r="E32" s="13"/>
      <c r="F32" s="147"/>
      <c r="G32" s="142"/>
      <c r="H32" s="13"/>
      <c r="I32" s="13"/>
      <c r="J32" s="13"/>
      <c r="K32" s="13"/>
    </row>
    <row r="33" spans="1:11" ht="17.5">
      <c r="B33" s="13"/>
      <c r="C33" s="13"/>
      <c r="D33" s="13"/>
      <c r="E33" s="13"/>
      <c r="F33" s="147"/>
      <c r="G33" s="142"/>
      <c r="H33" s="13"/>
      <c r="I33" s="13"/>
      <c r="J33" s="13"/>
      <c r="K33" s="13"/>
    </row>
    <row r="34" spans="1:11" ht="25.5">
      <c r="A34" s="25" t="s">
        <v>1</v>
      </c>
      <c r="C34" s="13"/>
      <c r="D34" s="13"/>
      <c r="E34" s="13"/>
      <c r="F34" s="147"/>
      <c r="G34" s="142"/>
      <c r="H34" s="13"/>
      <c r="I34" s="13"/>
      <c r="J34" s="13"/>
      <c r="K34" s="13"/>
    </row>
    <row r="35" spans="1:11" ht="17.5">
      <c r="A35" s="26" t="s">
        <v>9</v>
      </c>
      <c r="C35" s="13"/>
      <c r="D35" s="13"/>
      <c r="E35" s="13"/>
      <c r="F35" s="147"/>
      <c r="G35" s="142"/>
      <c r="H35" s="13"/>
      <c r="I35" s="13"/>
      <c r="J35" s="13"/>
      <c r="K35" s="13"/>
    </row>
    <row r="36" spans="1:11" ht="17.5">
      <c r="A36" s="27" t="s">
        <v>483</v>
      </c>
      <c r="C36" s="13"/>
      <c r="D36" s="13"/>
      <c r="E36" s="13"/>
      <c r="F36" s="147"/>
      <c r="G36" s="142"/>
      <c r="H36" s="13"/>
      <c r="I36" s="13"/>
      <c r="J36" s="13"/>
      <c r="K36" s="13"/>
    </row>
    <row r="37" spans="1:11" ht="17.5">
      <c r="A37" s="27"/>
      <c r="C37" s="13"/>
      <c r="D37" s="13"/>
      <c r="E37" s="13"/>
      <c r="F37" s="147"/>
      <c r="G37" s="142"/>
      <c r="H37" s="13"/>
      <c r="I37" s="13"/>
      <c r="J37" s="13"/>
      <c r="K37" s="13"/>
    </row>
    <row r="38" spans="1:11" ht="17.5">
      <c r="A38" s="27"/>
      <c r="C38" s="13"/>
      <c r="D38" s="13"/>
      <c r="E38" s="13"/>
      <c r="F38" s="147"/>
      <c r="G38" s="142"/>
      <c r="H38" s="13"/>
      <c r="I38" s="13"/>
      <c r="J38" s="13"/>
      <c r="K38" s="13"/>
    </row>
    <row r="39" spans="1:11" ht="17.5">
      <c r="A39" s="27"/>
      <c r="C39" s="13"/>
      <c r="D39" s="13"/>
      <c r="E39" s="13"/>
      <c r="F39" s="147"/>
      <c r="G39" s="142"/>
      <c r="H39" s="13"/>
      <c r="I39" s="13"/>
      <c r="J39" s="13"/>
      <c r="K39" s="13"/>
    </row>
    <row r="40" spans="1:11" ht="17.5">
      <c r="A40" s="27"/>
      <c r="C40" s="13"/>
      <c r="D40" s="13"/>
      <c r="E40" s="13"/>
      <c r="F40" s="147"/>
      <c r="G40" s="142"/>
      <c r="H40" s="13"/>
      <c r="I40" s="13"/>
      <c r="J40" s="13"/>
      <c r="K40" s="13"/>
    </row>
    <row r="41" spans="1:11" ht="17.5">
      <c r="A41" s="27"/>
      <c r="C41" s="13"/>
      <c r="D41" s="13"/>
      <c r="E41" s="13"/>
      <c r="F41" s="147"/>
      <c r="G41" s="142"/>
      <c r="H41" s="13"/>
      <c r="I41" s="13"/>
      <c r="J41" s="13"/>
      <c r="K41" s="13"/>
    </row>
    <row r="42" spans="1:11" ht="17.5">
      <c r="A42" s="27"/>
      <c r="C42" s="13"/>
      <c r="D42" s="13"/>
      <c r="E42" s="13"/>
      <c r="F42" s="147"/>
      <c r="G42" s="142"/>
      <c r="H42" s="13"/>
      <c r="I42" s="13"/>
      <c r="J42" s="13"/>
      <c r="K42" s="13"/>
    </row>
    <row r="43" spans="1:11" ht="17.5">
      <c r="A43" s="27"/>
      <c r="C43" s="13"/>
      <c r="D43" s="13"/>
      <c r="E43" s="13"/>
      <c r="F43" s="147"/>
      <c r="G43" s="142"/>
      <c r="H43" s="13"/>
      <c r="I43" s="13"/>
      <c r="J43" s="13"/>
      <c r="K43" s="13"/>
    </row>
    <row r="44" spans="1:11" ht="21">
      <c r="A44" s="27"/>
      <c r="C44" s="13"/>
      <c r="D44" s="80" t="s">
        <v>97</v>
      </c>
      <c r="E44" s="13"/>
      <c r="F44" s="147"/>
      <c r="G44" s="142"/>
      <c r="H44" s="13"/>
      <c r="I44" s="13"/>
      <c r="J44" s="13"/>
      <c r="K44" s="13"/>
    </row>
    <row r="45" spans="1:11" ht="21">
      <c r="A45" s="27"/>
      <c r="C45" s="13"/>
      <c r="D45" s="80"/>
      <c r="E45" s="13"/>
      <c r="F45" s="147"/>
      <c r="G45" s="142"/>
      <c r="H45" s="13"/>
      <c r="I45" s="13"/>
      <c r="J45" s="13"/>
      <c r="K45" s="13"/>
    </row>
    <row r="46" spans="1:11" ht="21">
      <c r="A46" s="27"/>
      <c r="C46" s="13"/>
      <c r="D46" s="80"/>
      <c r="E46" s="13"/>
      <c r="F46" s="147"/>
      <c r="G46" s="142"/>
      <c r="H46" s="13"/>
      <c r="I46" s="13"/>
      <c r="J46" s="13"/>
      <c r="K46" s="13"/>
    </row>
    <row r="47" spans="1:11" ht="17.5" thickBot="1">
      <c r="B47" s="13"/>
      <c r="C47" s="30"/>
      <c r="D47" s="30"/>
      <c r="E47" s="30"/>
      <c r="F47" s="13"/>
      <c r="G47" s="13"/>
      <c r="H47" s="13"/>
      <c r="I47" s="13"/>
      <c r="J47" s="13"/>
      <c r="K47" s="13"/>
    </row>
    <row r="48" spans="1:11" ht="25.5">
      <c r="B48" s="13"/>
      <c r="C48" s="13"/>
      <c r="D48" s="33" t="str">
        <f>+D15</f>
        <v>Electric Utilities</v>
      </c>
      <c r="E48" s="13"/>
      <c r="F48" s="13"/>
      <c r="G48" s="13"/>
      <c r="H48" s="13"/>
      <c r="I48" s="13"/>
      <c r="J48" s="13"/>
      <c r="K48" s="13"/>
    </row>
    <row r="49" spans="2:11" ht="21.5" thickBot="1">
      <c r="B49" s="13"/>
      <c r="C49" s="30"/>
      <c r="D49" s="140" t="s">
        <v>99</v>
      </c>
      <c r="E49" s="30"/>
      <c r="F49" s="13"/>
      <c r="G49" s="13"/>
      <c r="H49" s="13"/>
      <c r="I49" s="13"/>
      <c r="J49" s="13"/>
      <c r="K49" s="13"/>
    </row>
    <row r="50" spans="2:11" ht="17">
      <c r="B50" s="13"/>
      <c r="C50" s="13"/>
      <c r="D50" s="13"/>
      <c r="E50" s="13"/>
      <c r="F50" s="13"/>
      <c r="G50" s="13"/>
      <c r="H50" s="13"/>
      <c r="I50" s="13"/>
      <c r="J50" s="13"/>
      <c r="K50" s="13"/>
    </row>
    <row r="51" spans="2:11" ht="17.5" thickBot="1">
      <c r="B51" s="30"/>
      <c r="C51" s="30"/>
      <c r="D51" s="38" t="s">
        <v>0</v>
      </c>
      <c r="E51" s="30"/>
      <c r="F51" s="30"/>
      <c r="G51" s="30"/>
      <c r="H51" s="13"/>
      <c r="I51" s="13"/>
      <c r="J51" s="13"/>
      <c r="K51" s="13"/>
    </row>
    <row r="52" spans="2:11" ht="17">
      <c r="B52" s="36" t="s">
        <v>32</v>
      </c>
      <c r="C52" s="36" t="s">
        <v>33</v>
      </c>
      <c r="D52" s="36" t="s">
        <v>101</v>
      </c>
      <c r="E52" s="36" t="s">
        <v>102</v>
      </c>
      <c r="F52" s="36" t="s">
        <v>100</v>
      </c>
      <c r="G52" s="36" t="s">
        <v>35</v>
      </c>
      <c r="H52" s="13"/>
      <c r="I52" s="13"/>
      <c r="J52" s="13"/>
      <c r="K52" s="13"/>
    </row>
    <row r="53" spans="2:11" ht="17.5" thickBot="1">
      <c r="B53" s="38" t="s">
        <v>33</v>
      </c>
      <c r="C53" s="38" t="s">
        <v>36</v>
      </c>
      <c r="D53" s="38" t="s">
        <v>37</v>
      </c>
      <c r="E53" s="38" t="s">
        <v>23</v>
      </c>
      <c r="F53" s="38" t="s">
        <v>38</v>
      </c>
      <c r="G53" s="38" t="s">
        <v>103</v>
      </c>
      <c r="H53" s="13"/>
      <c r="I53" s="13"/>
      <c r="J53" s="13"/>
      <c r="K53" s="13"/>
    </row>
    <row r="54" spans="2:11" ht="17">
      <c r="B54" s="40" t="s">
        <v>0</v>
      </c>
      <c r="C54" s="40" t="s">
        <v>0</v>
      </c>
      <c r="D54" s="40" t="s">
        <v>0</v>
      </c>
      <c r="E54" s="40" t="s">
        <v>0</v>
      </c>
      <c r="F54" s="40" t="s">
        <v>0</v>
      </c>
      <c r="G54" s="40" t="s">
        <v>0</v>
      </c>
      <c r="H54" s="13"/>
      <c r="I54" s="13"/>
      <c r="J54" s="13"/>
      <c r="K54" s="13"/>
    </row>
    <row r="55" spans="2:11" ht="17">
      <c r="B55" s="36"/>
      <c r="C55" s="36"/>
      <c r="D55" s="36"/>
      <c r="E55" s="36"/>
      <c r="F55" s="36"/>
      <c r="G55" s="36"/>
      <c r="H55" s="13"/>
      <c r="I55" s="13"/>
      <c r="J55" s="13"/>
      <c r="K55" s="13"/>
    </row>
    <row r="56" spans="2:11" ht="17.5">
      <c r="B56" s="93" t="s">
        <v>40</v>
      </c>
      <c r="C56" s="141">
        <f>'S&amp;D'!I68</f>
        <v>0.56999999999999995</v>
      </c>
      <c r="D56" s="141">
        <f>'Direct GCF'!H41</f>
        <v>0.13500000000000001</v>
      </c>
      <c r="E56" s="107" t="s">
        <v>41</v>
      </c>
      <c r="F56" s="141">
        <f>+D56</f>
        <v>0.13500000000000001</v>
      </c>
      <c r="G56" s="142">
        <f>+F56*C56</f>
        <v>7.6950000000000005E-2</v>
      </c>
      <c r="H56" s="13"/>
      <c r="I56" s="13"/>
      <c r="J56" s="13"/>
      <c r="K56" s="13"/>
    </row>
    <row r="57" spans="2:11" ht="17.5">
      <c r="B57" s="93" t="s">
        <v>0</v>
      </c>
      <c r="C57" s="107" t="s">
        <v>0</v>
      </c>
      <c r="D57" s="107" t="s">
        <v>0</v>
      </c>
      <c r="E57" s="107" t="s">
        <v>0</v>
      </c>
      <c r="F57" s="143" t="s">
        <v>0</v>
      </c>
      <c r="G57" s="125" t="s">
        <v>0</v>
      </c>
      <c r="H57" s="13"/>
      <c r="I57" s="13"/>
      <c r="J57" s="13"/>
      <c r="K57" s="13"/>
    </row>
    <row r="58" spans="2:11" ht="17.5">
      <c r="B58" s="93" t="s">
        <v>42</v>
      </c>
      <c r="C58" s="141">
        <f>'S&amp;D'!J68</f>
        <v>0.43</v>
      </c>
      <c r="D58" s="141">
        <f>+'Direct Debt'!I41</f>
        <v>4.8000000000000001E-2</v>
      </c>
      <c r="E58" s="141">
        <v>0.26</v>
      </c>
      <c r="F58" s="141">
        <f>+D58*(1-E58)</f>
        <v>3.5520000000000003E-2</v>
      </c>
      <c r="G58" s="142">
        <f>+C58*F58</f>
        <v>1.5273600000000002E-2</v>
      </c>
      <c r="H58" s="13"/>
      <c r="I58" s="13"/>
      <c r="J58" s="13"/>
      <c r="K58" s="13"/>
    </row>
    <row r="59" spans="2:11" ht="18" thickBot="1">
      <c r="B59" s="100" t="s">
        <v>0</v>
      </c>
      <c r="C59" s="100" t="s">
        <v>0</v>
      </c>
      <c r="D59" s="100" t="s">
        <v>0</v>
      </c>
      <c r="E59" s="100" t="s">
        <v>0</v>
      </c>
      <c r="F59" s="144" t="s">
        <v>0</v>
      </c>
      <c r="G59" s="145" t="s">
        <v>0</v>
      </c>
      <c r="H59" s="13"/>
      <c r="I59" s="13"/>
      <c r="J59" s="13"/>
      <c r="K59" s="13"/>
    </row>
    <row r="60" spans="2:11" ht="17.5">
      <c r="B60" s="93" t="s">
        <v>43</v>
      </c>
      <c r="C60" s="146">
        <f>+C56+C58</f>
        <v>1</v>
      </c>
      <c r="D60" s="93" t="s">
        <v>0</v>
      </c>
      <c r="E60" s="93" t="s">
        <v>0</v>
      </c>
      <c r="F60" s="147" t="s">
        <v>0</v>
      </c>
      <c r="G60" s="142">
        <f>+G56+G58</f>
        <v>9.2223600000000003E-2</v>
      </c>
      <c r="H60" s="13"/>
      <c r="I60" s="13"/>
      <c r="J60" s="13"/>
      <c r="K60" s="13"/>
    </row>
    <row r="61" spans="2:11" ht="18" thickBot="1">
      <c r="B61" s="65"/>
      <c r="C61" s="65"/>
      <c r="D61" s="65"/>
      <c r="E61" s="65"/>
      <c r="F61" s="65"/>
      <c r="G61" s="148"/>
      <c r="H61" s="13"/>
      <c r="I61" s="13"/>
      <c r="J61" s="13"/>
      <c r="K61" s="13"/>
    </row>
    <row r="62" spans="2:11" ht="18" thickBot="1">
      <c r="B62" s="13"/>
      <c r="C62" s="13"/>
      <c r="D62" s="13"/>
      <c r="E62" s="13"/>
      <c r="F62" s="213" t="s">
        <v>108</v>
      </c>
      <c r="G62" s="197">
        <v>9.2200000000000004E-2</v>
      </c>
      <c r="H62" s="13"/>
      <c r="I62" s="13"/>
      <c r="J62" s="13"/>
      <c r="K62" s="13"/>
    </row>
    <row r="63" spans="2:11" ht="15" thickBot="1"/>
    <row r="64" spans="2:11" ht="18" thickBot="1">
      <c r="F64" s="213" t="s">
        <v>269</v>
      </c>
      <c r="G64" s="248">
        <f>1/G62</f>
        <v>10.845986984815617</v>
      </c>
    </row>
  </sheetData>
  <pageMargins left="0.25" right="0.25" top="0.75" bottom="0.75" header="0.3" footer="0.3"/>
  <pageSetup scale="73"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88"/>
  <sheetViews>
    <sheetView view="pageBreakPreview" topLeftCell="A15" zoomScale="60" zoomScaleNormal="80" zoomScalePageLayoutView="70" workbookViewId="0">
      <pane xSplit="1" topLeftCell="B1" activePane="topRight" state="frozen"/>
      <selection activeCell="F4" sqref="F4"/>
      <selection pane="topRight" activeCell="M29" sqref="M29"/>
    </sheetView>
  </sheetViews>
  <sheetFormatPr defaultRowHeight="14.5"/>
  <cols>
    <col min="1" max="1" width="63" customWidth="1"/>
    <col min="2" max="2" width="11.54296875" bestFit="1" customWidth="1"/>
    <col min="3" max="3" width="26.26953125" customWidth="1"/>
    <col min="4" max="4" width="25.54296875" bestFit="1" customWidth="1"/>
    <col min="5" max="5" width="28" customWidth="1"/>
    <col min="6" max="7" width="29.1796875" customWidth="1"/>
    <col min="8" max="8" width="31.81640625" customWidth="1"/>
    <col min="9" max="9" width="31.54296875" customWidth="1"/>
    <col min="10" max="10" width="30.81640625" customWidth="1"/>
    <col min="11" max="11" width="12.81640625" customWidth="1"/>
    <col min="12" max="12" width="25.81640625" bestFit="1" customWidth="1"/>
    <col min="13" max="13" width="30.1796875" bestFit="1" customWidth="1"/>
    <col min="14" max="14" width="9.1796875" customWidth="1"/>
  </cols>
  <sheetData>
    <row r="1" spans="1:12" ht="25.5">
      <c r="A1" s="25" t="s">
        <v>1</v>
      </c>
      <c r="B1" s="13"/>
      <c r="C1" s="13"/>
      <c r="D1" s="13"/>
      <c r="E1" s="13"/>
      <c r="F1" s="13"/>
      <c r="G1" s="13"/>
      <c r="H1" s="13"/>
      <c r="I1" s="13"/>
      <c r="J1" s="13"/>
      <c r="K1" s="13"/>
    </row>
    <row r="2" spans="1:12" ht="17.5">
      <c r="A2" s="26" t="s">
        <v>9</v>
      </c>
      <c r="B2" s="13"/>
      <c r="C2" s="13"/>
      <c r="D2" s="13"/>
      <c r="E2" s="13"/>
      <c r="F2" s="13"/>
      <c r="G2" s="13"/>
      <c r="H2" s="13"/>
      <c r="I2" s="13"/>
      <c r="J2" s="13"/>
      <c r="K2" s="13"/>
    </row>
    <row r="3" spans="1:12" ht="17">
      <c r="A3" s="27" t="s">
        <v>483</v>
      </c>
      <c r="B3" s="13"/>
      <c r="C3" s="13"/>
      <c r="D3" s="13"/>
      <c r="E3" s="13"/>
      <c r="F3" s="13"/>
      <c r="G3" s="13"/>
      <c r="H3" s="13"/>
      <c r="I3" s="13"/>
      <c r="J3" s="13"/>
      <c r="K3" s="13"/>
    </row>
    <row r="4" spans="1:12" ht="17">
      <c r="A4" s="27"/>
      <c r="B4" s="13"/>
      <c r="C4" s="13"/>
      <c r="D4" s="13"/>
      <c r="E4" s="13"/>
      <c r="F4" s="210" t="s">
        <v>0</v>
      </c>
      <c r="G4" s="13"/>
      <c r="H4" s="13"/>
      <c r="I4" s="13"/>
      <c r="J4" s="13"/>
      <c r="K4" s="13"/>
    </row>
    <row r="5" spans="1:12" ht="17">
      <c r="B5" s="13"/>
      <c r="C5" s="13"/>
      <c r="D5" s="13"/>
      <c r="E5" s="28"/>
      <c r="F5" s="210" t="s">
        <v>0</v>
      </c>
      <c r="G5" s="13"/>
      <c r="H5" s="13"/>
      <c r="I5" s="13"/>
      <c r="J5" s="13"/>
      <c r="K5" s="13" t="s">
        <v>0</v>
      </c>
    </row>
    <row r="6" spans="1:12" ht="17">
      <c r="A6" s="13"/>
      <c r="B6" s="13"/>
      <c r="C6" s="13"/>
      <c r="D6" s="13"/>
      <c r="E6" s="13"/>
      <c r="F6" s="13"/>
      <c r="G6" s="13"/>
      <c r="H6" s="13"/>
      <c r="I6" s="13"/>
      <c r="J6" s="13"/>
      <c r="K6" s="13"/>
    </row>
    <row r="7" spans="1:12" ht="17">
      <c r="A7" s="13"/>
      <c r="B7" s="36"/>
      <c r="C7" s="36"/>
      <c r="D7" s="36"/>
      <c r="E7" s="36"/>
      <c r="F7" s="36"/>
      <c r="G7" s="15"/>
      <c r="H7" s="45"/>
      <c r="I7" s="45"/>
      <c r="J7" s="88"/>
      <c r="K7" s="88"/>
      <c r="L7" s="3"/>
    </row>
    <row r="8" spans="1:12" ht="17">
      <c r="A8" s="89"/>
      <c r="B8" s="36"/>
      <c r="C8" s="36"/>
      <c r="D8" s="36"/>
      <c r="E8" s="36"/>
      <c r="F8" s="36"/>
      <c r="G8" s="15"/>
      <c r="H8" s="45"/>
      <c r="I8" s="45"/>
      <c r="J8" s="88"/>
      <c r="K8" s="88"/>
      <c r="L8" s="3"/>
    </row>
    <row r="9" spans="1:12" ht="17">
      <c r="A9" s="89"/>
      <c r="B9" s="36"/>
      <c r="C9" s="36"/>
      <c r="D9" s="36"/>
      <c r="E9" s="36"/>
      <c r="F9" s="36"/>
      <c r="G9" s="15"/>
      <c r="H9" s="45"/>
      <c r="I9" s="45"/>
      <c r="J9" s="88"/>
      <c r="K9" s="88"/>
      <c r="L9" s="3"/>
    </row>
    <row r="10" spans="1:12" ht="17">
      <c r="A10" s="45"/>
      <c r="D10" s="45"/>
      <c r="E10" s="45"/>
      <c r="F10" s="45"/>
      <c r="G10" s="45"/>
      <c r="H10" s="45"/>
      <c r="I10" s="45"/>
      <c r="J10" s="45"/>
      <c r="K10" s="45"/>
      <c r="L10" s="2"/>
    </row>
    <row r="11" spans="1:12" ht="17.5" thickBot="1">
      <c r="A11" s="45"/>
      <c r="D11" s="45"/>
      <c r="E11" s="90"/>
      <c r="F11" s="30"/>
      <c r="G11" s="90"/>
      <c r="H11" s="45"/>
      <c r="I11" s="45"/>
      <c r="J11" s="45"/>
      <c r="K11" s="45"/>
      <c r="L11" s="2"/>
    </row>
    <row r="12" spans="1:12" ht="26" thickBot="1">
      <c r="A12" s="29" t="s">
        <v>444</v>
      </c>
      <c r="D12" s="45"/>
      <c r="E12" s="45"/>
      <c r="F12" s="33" t="s">
        <v>109</v>
      </c>
      <c r="G12" s="45"/>
      <c r="H12" s="45"/>
      <c r="I12" s="45"/>
      <c r="J12" s="45"/>
      <c r="K12" s="13"/>
    </row>
    <row r="13" spans="1:12" ht="21.5" thickBot="1">
      <c r="A13" s="32"/>
      <c r="D13" s="45"/>
      <c r="E13" s="90"/>
      <c r="F13" s="34" t="s">
        <v>484</v>
      </c>
      <c r="G13" s="90"/>
      <c r="H13" s="45"/>
      <c r="I13" s="45"/>
      <c r="J13" s="45" t="s">
        <v>0</v>
      </c>
      <c r="K13" s="13"/>
    </row>
    <row r="14" spans="1:12" ht="21">
      <c r="A14" s="32"/>
      <c r="B14" s="45"/>
      <c r="C14" s="45"/>
      <c r="D14" s="45"/>
      <c r="E14" s="45"/>
      <c r="F14" s="14" t="s">
        <v>0</v>
      </c>
      <c r="G14" s="45"/>
      <c r="H14" s="45"/>
      <c r="I14" s="45"/>
      <c r="J14" s="45"/>
      <c r="K14" s="13"/>
    </row>
    <row r="15" spans="1:12" ht="17.5" thickBot="1">
      <c r="A15" s="43" t="s">
        <v>0</v>
      </c>
      <c r="B15" s="43" t="s">
        <v>0</v>
      </c>
      <c r="C15" s="43" t="s">
        <v>0</v>
      </c>
      <c r="D15" s="43"/>
      <c r="E15" s="43"/>
      <c r="F15" s="43"/>
      <c r="G15" s="43" t="s">
        <v>0</v>
      </c>
      <c r="H15" s="90"/>
      <c r="I15" s="90"/>
      <c r="J15" s="90"/>
      <c r="K15" s="13"/>
    </row>
    <row r="16" spans="1:12" ht="17.5">
      <c r="A16" s="91"/>
      <c r="B16" s="92"/>
      <c r="C16" s="264"/>
      <c r="D16" s="94" t="s">
        <v>13</v>
      </c>
      <c r="E16" s="95" t="s">
        <v>13</v>
      </c>
      <c r="F16" s="94" t="s">
        <v>13</v>
      </c>
      <c r="G16" s="93" t="s">
        <v>279</v>
      </c>
      <c r="H16" s="420" t="s">
        <v>486</v>
      </c>
      <c r="I16" s="96" t="s">
        <v>486</v>
      </c>
      <c r="J16" s="420" t="s">
        <v>486</v>
      </c>
      <c r="K16" s="13"/>
    </row>
    <row r="17" spans="1:13" ht="17.5">
      <c r="A17" s="91" t="s">
        <v>0</v>
      </c>
      <c r="B17" s="92" t="s">
        <v>3</v>
      </c>
      <c r="C17" s="92" t="s">
        <v>5</v>
      </c>
      <c r="D17" s="94" t="s">
        <v>10</v>
      </c>
      <c r="E17" s="95" t="s">
        <v>10</v>
      </c>
      <c r="F17" s="94" t="s">
        <v>19</v>
      </c>
      <c r="G17" s="96" t="s">
        <v>486</v>
      </c>
      <c r="H17" s="92" t="s">
        <v>12</v>
      </c>
      <c r="I17" s="270" t="s">
        <v>11</v>
      </c>
      <c r="J17" s="97" t="s">
        <v>187</v>
      </c>
      <c r="K17" s="13"/>
    </row>
    <row r="18" spans="1:13" ht="17.5">
      <c r="A18" s="91" t="s">
        <v>2</v>
      </c>
      <c r="B18" s="92" t="s">
        <v>4</v>
      </c>
      <c r="C18" s="92" t="s">
        <v>6</v>
      </c>
      <c r="D18" s="94" t="s">
        <v>65</v>
      </c>
      <c r="E18" s="95" t="s">
        <v>66</v>
      </c>
      <c r="F18" s="94" t="s">
        <v>10</v>
      </c>
      <c r="G18" s="96" t="s">
        <v>10</v>
      </c>
      <c r="H18" s="92" t="s">
        <v>107</v>
      </c>
      <c r="I18" s="211"/>
      <c r="J18" s="97" t="s">
        <v>280</v>
      </c>
      <c r="K18" s="13" t="s">
        <v>0</v>
      </c>
    </row>
    <row r="19" spans="1:13" ht="18" thickBot="1">
      <c r="A19" s="98" t="s">
        <v>0</v>
      </c>
      <c r="B19" s="99" t="s">
        <v>0</v>
      </c>
      <c r="C19" s="99" t="s">
        <v>0</v>
      </c>
      <c r="D19" s="99" t="s">
        <v>0</v>
      </c>
      <c r="E19" s="100" t="s">
        <v>0</v>
      </c>
      <c r="F19" s="99" t="s">
        <v>0</v>
      </c>
      <c r="G19" s="100" t="s">
        <v>0</v>
      </c>
      <c r="H19" s="101" t="s">
        <v>96</v>
      </c>
      <c r="I19" s="102" t="s">
        <v>95</v>
      </c>
      <c r="J19" s="101" t="s">
        <v>95</v>
      </c>
      <c r="K19" s="13"/>
    </row>
    <row r="20" spans="1:13" ht="17">
      <c r="A20" s="103" t="s">
        <v>7</v>
      </c>
      <c r="B20" s="104" t="s">
        <v>7</v>
      </c>
      <c r="C20" s="104" t="s">
        <v>7</v>
      </c>
      <c r="D20" s="104" t="s">
        <v>7</v>
      </c>
      <c r="E20" s="44" t="s">
        <v>7</v>
      </c>
      <c r="F20" s="104" t="s">
        <v>15</v>
      </c>
      <c r="G20" s="44" t="s">
        <v>7</v>
      </c>
      <c r="H20" s="104" t="s">
        <v>8</v>
      </c>
      <c r="I20" s="44" t="s">
        <v>8</v>
      </c>
      <c r="J20" s="104" t="s">
        <v>8</v>
      </c>
      <c r="K20" s="13"/>
    </row>
    <row r="21" spans="1:13" ht="17.5">
      <c r="A21" s="91"/>
      <c r="B21" s="92"/>
      <c r="C21" s="92"/>
      <c r="D21" s="92"/>
      <c r="E21" s="93"/>
      <c r="F21" s="92"/>
      <c r="G21" s="93"/>
      <c r="H21" s="92"/>
      <c r="I21" s="65"/>
      <c r="J21" s="105"/>
      <c r="K21" s="13"/>
    </row>
    <row r="22" spans="1:13" ht="17.5">
      <c r="A22" s="106" t="s">
        <v>311</v>
      </c>
      <c r="B22" s="82" t="s">
        <v>53</v>
      </c>
      <c r="C22" s="82" t="s">
        <v>432</v>
      </c>
      <c r="D22" s="108">
        <v>62.16</v>
      </c>
      <c r="E22" s="62">
        <v>49.29</v>
      </c>
      <c r="F22" s="108">
        <f>AVERAGE(D22,E22)</f>
        <v>55.724999999999994</v>
      </c>
      <c r="G22" s="62">
        <v>61.16</v>
      </c>
      <c r="H22" s="317">
        <v>57600000</v>
      </c>
      <c r="I22" s="323"/>
      <c r="J22" s="317">
        <f>(111.4+1679.9)*1000000</f>
        <v>1791300000.0000002</v>
      </c>
      <c r="K22" s="13"/>
    </row>
    <row r="23" spans="1:13" ht="17.5">
      <c r="A23" s="106" t="s">
        <v>44</v>
      </c>
      <c r="B23" s="82" t="s">
        <v>54</v>
      </c>
      <c r="C23" s="82" t="s">
        <v>432</v>
      </c>
      <c r="D23" s="108">
        <v>53.85</v>
      </c>
      <c r="E23" s="62">
        <v>45.15</v>
      </c>
      <c r="F23" s="108">
        <f t="shared" ref="F23:F37" si="0">AVERAGE(D23,E23)</f>
        <v>49.5</v>
      </c>
      <c r="G23" s="62">
        <v>51.3</v>
      </c>
      <c r="H23" s="317">
        <v>256096848</v>
      </c>
      <c r="I23" s="323"/>
      <c r="J23" s="317">
        <f>809000000+8225000000</f>
        <v>9034000000</v>
      </c>
      <c r="K23" s="13"/>
    </row>
    <row r="24" spans="1:13" ht="17.5">
      <c r="A24" s="106" t="s">
        <v>418</v>
      </c>
      <c r="B24" s="82" t="s">
        <v>58</v>
      </c>
      <c r="C24" s="82" t="s">
        <v>432</v>
      </c>
      <c r="D24" s="108">
        <v>82.09</v>
      </c>
      <c r="E24" s="62">
        <v>69.709999999999994</v>
      </c>
      <c r="F24" s="108">
        <f t="shared" si="0"/>
        <v>75.900000000000006</v>
      </c>
      <c r="G24" s="62">
        <v>72.34</v>
      </c>
      <c r="H24" s="317">
        <v>266300000</v>
      </c>
      <c r="I24" s="323"/>
      <c r="J24" s="317">
        <f>849000000+15121000000</f>
        <v>15970000000</v>
      </c>
      <c r="K24" s="13"/>
    </row>
    <row r="25" spans="1:13" ht="17.5">
      <c r="A25" s="106" t="s">
        <v>46</v>
      </c>
      <c r="B25" s="82" t="s">
        <v>59</v>
      </c>
      <c r="C25" s="82" t="s">
        <v>432</v>
      </c>
      <c r="D25" s="108">
        <v>84.69</v>
      </c>
      <c r="E25" s="62">
        <v>69.38</v>
      </c>
      <c r="F25" s="108">
        <f t="shared" si="0"/>
        <v>77.034999999999997</v>
      </c>
      <c r="G25" s="62">
        <v>81.22</v>
      </c>
      <c r="H25" s="317">
        <f>527369157-1184572</f>
        <v>526184585</v>
      </c>
      <c r="I25" s="323">
        <v>42500000</v>
      </c>
      <c r="J25" s="317">
        <f>37652700000+2490500000</f>
        <v>40143200000</v>
      </c>
      <c r="K25" s="13"/>
    </row>
    <row r="26" spans="1:13" ht="17.5">
      <c r="A26" s="109" t="s">
        <v>47</v>
      </c>
      <c r="B26" s="82" t="s">
        <v>60</v>
      </c>
      <c r="C26" s="82" t="s">
        <v>432</v>
      </c>
      <c r="D26" s="108">
        <v>30.55</v>
      </c>
      <c r="E26" s="62">
        <v>25.42</v>
      </c>
      <c r="F26" s="108">
        <f t="shared" si="0"/>
        <v>27.984999999999999</v>
      </c>
      <c r="G26" s="62">
        <v>28.57</v>
      </c>
      <c r="H26" s="317">
        <v>631225829</v>
      </c>
      <c r="I26" s="323">
        <v>0</v>
      </c>
      <c r="J26" s="317">
        <f>17559000000+178000000+872000000</f>
        <v>18609000000</v>
      </c>
      <c r="K26" s="13"/>
    </row>
    <row r="27" spans="1:13" ht="17.5">
      <c r="A27" s="106" t="s">
        <v>48</v>
      </c>
      <c r="B27" s="82" t="s">
        <v>55</v>
      </c>
      <c r="C27" s="82" t="s">
        <v>432</v>
      </c>
      <c r="D27" s="108">
        <v>60.36</v>
      </c>
      <c r="E27" s="62">
        <v>49.87</v>
      </c>
      <c r="F27" s="108">
        <f t="shared" si="0"/>
        <v>55.114999999999995</v>
      </c>
      <c r="G27" s="62">
        <v>58.07</v>
      </c>
      <c r="H27" s="317">
        <v>294400000</v>
      </c>
      <c r="I27" s="323">
        <v>224000000</v>
      </c>
      <c r="J27" s="317">
        <f>14508000000+62000000+980000000</f>
        <v>15550000000</v>
      </c>
      <c r="K27" s="13"/>
      <c r="M27" s="10" t="s">
        <v>0</v>
      </c>
    </row>
    <row r="28" spans="1:13" ht="17.5">
      <c r="A28" s="106" t="s">
        <v>49</v>
      </c>
      <c r="B28" s="82" t="s">
        <v>56</v>
      </c>
      <c r="C28" s="82" t="s">
        <v>432</v>
      </c>
      <c r="D28" s="108">
        <v>114.62</v>
      </c>
      <c r="E28" s="62">
        <v>90.14</v>
      </c>
      <c r="F28" s="108">
        <f t="shared" si="0"/>
        <v>102.38</v>
      </c>
      <c r="G28" s="62">
        <v>110.26</v>
      </c>
      <c r="H28" s="317">
        <v>206357070</v>
      </c>
      <c r="I28" s="323"/>
      <c r="J28" s="317">
        <f>17420000000+2142000000</f>
        <v>19562000000</v>
      </c>
      <c r="K28" s="13"/>
    </row>
    <row r="29" spans="1:13" ht="17.5">
      <c r="A29" s="106" t="s">
        <v>74</v>
      </c>
      <c r="B29" s="82" t="s">
        <v>67</v>
      </c>
      <c r="C29" s="82" t="s">
        <v>431</v>
      </c>
      <c r="D29" s="108">
        <v>99.48</v>
      </c>
      <c r="E29" s="62">
        <v>83.06</v>
      </c>
      <c r="F29" s="108">
        <f t="shared" si="0"/>
        <v>91.27000000000001</v>
      </c>
      <c r="G29" s="62">
        <v>97.04</v>
      </c>
      <c r="H29" s="317">
        <v>771000000</v>
      </c>
      <c r="I29" s="323">
        <f>973000000+989000000</f>
        <v>1962000000</v>
      </c>
      <c r="J29" s="317">
        <f>72452000000+2800000000</f>
        <v>75252000000</v>
      </c>
      <c r="K29" s="13"/>
    </row>
    <row r="30" spans="1:13" ht="17.5">
      <c r="A30" s="106" t="s">
        <v>68</v>
      </c>
      <c r="B30" s="82" t="s">
        <v>69</v>
      </c>
      <c r="C30" s="82" t="s">
        <v>432</v>
      </c>
      <c r="D30" s="108">
        <v>106.45</v>
      </c>
      <c r="E30" s="62">
        <v>87.1</v>
      </c>
      <c r="F30" s="108">
        <f t="shared" si="0"/>
        <v>96.775000000000006</v>
      </c>
      <c r="G30" s="62">
        <v>101.19</v>
      </c>
      <c r="H30" s="317">
        <f>280975348-68126778</f>
        <v>212848570</v>
      </c>
      <c r="I30" s="323"/>
      <c r="J30" s="317">
        <f>23008839000+2099057000</f>
        <v>25107896000</v>
      </c>
      <c r="K30" s="13"/>
    </row>
    <row r="31" spans="1:13" ht="17.5">
      <c r="A31" s="106" t="s">
        <v>312</v>
      </c>
      <c r="B31" s="82" t="s">
        <v>313</v>
      </c>
      <c r="C31" s="82" t="s">
        <v>432</v>
      </c>
      <c r="D31" s="108">
        <v>54.4</v>
      </c>
      <c r="E31" s="62">
        <v>46.92</v>
      </c>
      <c r="F31" s="108">
        <f t="shared" si="0"/>
        <v>50.66</v>
      </c>
      <c r="G31" s="62">
        <v>52.2</v>
      </c>
      <c r="H31" s="317">
        <v>229729296</v>
      </c>
      <c r="I31" s="323"/>
      <c r="J31" s="317">
        <f>11053300000+800000000</f>
        <v>11853300000</v>
      </c>
      <c r="K31" s="13"/>
    </row>
    <row r="32" spans="1:13" ht="17.5">
      <c r="A32" s="106" t="s">
        <v>78</v>
      </c>
      <c r="B32" s="82" t="s">
        <v>79</v>
      </c>
      <c r="C32" s="82" t="s">
        <v>431</v>
      </c>
      <c r="D32" s="108">
        <v>38.82</v>
      </c>
      <c r="E32" s="62">
        <v>32.18</v>
      </c>
      <c r="F32" s="108">
        <f t="shared" si="0"/>
        <v>35.5</v>
      </c>
      <c r="G32" s="62">
        <v>36.659999999999997</v>
      </c>
      <c r="H32" s="317">
        <v>574335396</v>
      </c>
      <c r="I32" s="323"/>
      <c r="J32" s="317">
        <f>22885000000+1250000000</f>
        <v>24135000000</v>
      </c>
      <c r="K32" s="13"/>
    </row>
    <row r="33" spans="1:12" ht="17.5">
      <c r="A33" s="106" t="s">
        <v>50</v>
      </c>
      <c r="B33" s="82" t="s">
        <v>57</v>
      </c>
      <c r="C33" s="82" t="s">
        <v>432</v>
      </c>
      <c r="D33" s="108">
        <v>36.93</v>
      </c>
      <c r="E33" s="62">
        <v>31.25</v>
      </c>
      <c r="F33" s="108">
        <f t="shared" si="0"/>
        <v>34.090000000000003</v>
      </c>
      <c r="G33" s="62">
        <v>34.93</v>
      </c>
      <c r="H33" s="317">
        <v>200300000</v>
      </c>
      <c r="I33" s="323"/>
      <c r="J33" s="317">
        <f>4340500000+0</f>
        <v>4340500000</v>
      </c>
      <c r="K33" s="13"/>
    </row>
    <row r="34" spans="1:12" ht="17.5">
      <c r="A34" s="106" t="s">
        <v>51</v>
      </c>
      <c r="B34" s="82" t="s">
        <v>61</v>
      </c>
      <c r="C34" s="82" t="s">
        <v>432</v>
      </c>
      <c r="D34" s="108">
        <v>88.9</v>
      </c>
      <c r="E34" s="62">
        <v>68.959999999999994</v>
      </c>
      <c r="F34" s="108">
        <f t="shared" si="0"/>
        <v>78.930000000000007</v>
      </c>
      <c r="G34" s="62">
        <v>84.97</v>
      </c>
      <c r="H34" s="317">
        <v>41710521</v>
      </c>
      <c r="I34" s="323"/>
      <c r="J34" s="317">
        <f>824059000+81422000</f>
        <v>905481000</v>
      </c>
      <c r="K34" s="13"/>
    </row>
    <row r="35" spans="1:12" ht="17.5">
      <c r="A35" s="106" t="s">
        <v>75</v>
      </c>
      <c r="B35" s="82" t="s">
        <v>71</v>
      </c>
      <c r="C35" s="82" t="s">
        <v>431</v>
      </c>
      <c r="D35" s="108">
        <v>27.69</v>
      </c>
      <c r="E35" s="62">
        <v>22.2</v>
      </c>
      <c r="F35" s="108">
        <f t="shared" si="0"/>
        <v>24.945</v>
      </c>
      <c r="G35" s="62">
        <v>27.1</v>
      </c>
      <c r="H35" s="317">
        <v>737130000</v>
      </c>
      <c r="I35" s="323"/>
      <c r="J35" s="317">
        <f>14611000000+1000000</f>
        <v>14612000000</v>
      </c>
      <c r="K35" s="13"/>
    </row>
    <row r="36" spans="1:12" ht="17.5">
      <c r="A36" s="106" t="s">
        <v>475</v>
      </c>
      <c r="B36" s="82" t="s">
        <v>73</v>
      </c>
      <c r="C36" s="82" t="s">
        <v>431</v>
      </c>
      <c r="D36" s="108">
        <v>73.42</v>
      </c>
      <c r="E36" s="62">
        <v>61.56</v>
      </c>
      <c r="F36" s="108">
        <f t="shared" si="0"/>
        <v>67.490000000000009</v>
      </c>
      <c r="G36" s="62">
        <v>70.12</v>
      </c>
      <c r="H36" s="317">
        <f>1100000000-1000000</f>
        <v>1099000000</v>
      </c>
      <c r="I36" s="323"/>
      <c r="J36" s="317">
        <f>57210000000+2476000000</f>
        <v>59686000000</v>
      </c>
      <c r="K36" s="13"/>
    </row>
    <row r="37" spans="1:12" ht="18" thickBot="1">
      <c r="A37" s="110" t="s">
        <v>52</v>
      </c>
      <c r="B37" s="83" t="s">
        <v>62</v>
      </c>
      <c r="C37" s="83" t="s">
        <v>432</v>
      </c>
      <c r="D37" s="111">
        <v>87.66</v>
      </c>
      <c r="E37" s="316">
        <v>75.47</v>
      </c>
      <c r="F37" s="111">
        <f t="shared" si="0"/>
        <v>81.564999999999998</v>
      </c>
      <c r="G37" s="316">
        <v>84.17</v>
      </c>
      <c r="H37" s="321">
        <v>315434531</v>
      </c>
      <c r="I37" s="112">
        <v>30400000</v>
      </c>
      <c r="J37" s="321">
        <v>16631100000</v>
      </c>
      <c r="K37" s="13"/>
    </row>
    <row r="38" spans="1:12" ht="17.5">
      <c r="A38" s="113"/>
      <c r="B38" s="113"/>
      <c r="C38" s="113"/>
      <c r="D38" s="113"/>
      <c r="E38" s="113"/>
      <c r="F38" s="113"/>
      <c r="G38" s="113"/>
      <c r="H38" s="113"/>
      <c r="I38" s="113"/>
      <c r="J38" s="113"/>
      <c r="K38" s="13"/>
    </row>
    <row r="39" spans="1:12" ht="17.5">
      <c r="A39" s="113"/>
      <c r="B39" s="113"/>
      <c r="C39" s="113"/>
      <c r="D39" s="113"/>
      <c r="E39" s="113"/>
      <c r="F39" s="113"/>
      <c r="G39" s="113"/>
      <c r="H39" s="113"/>
      <c r="I39" s="113"/>
      <c r="J39" s="113" t="s">
        <v>0</v>
      </c>
      <c r="K39" s="13"/>
    </row>
    <row r="40" spans="1:12" ht="18" thickBot="1">
      <c r="A40" s="114" t="s">
        <v>0</v>
      </c>
      <c r="B40" s="115"/>
      <c r="C40" s="115"/>
      <c r="D40" s="115"/>
      <c r="E40" s="115"/>
      <c r="F40" s="30"/>
      <c r="G40" s="115"/>
      <c r="H40" s="115"/>
      <c r="I40" s="115"/>
      <c r="J40" s="113"/>
      <c r="K40" s="113"/>
      <c r="L40" s="4"/>
    </row>
    <row r="41" spans="1:12" ht="17.5">
      <c r="A41" s="116"/>
      <c r="B41" s="117"/>
      <c r="C41" s="416"/>
      <c r="D41" s="416"/>
      <c r="E41" s="420" t="s">
        <v>0</v>
      </c>
      <c r="F41" s="420" t="s">
        <v>0</v>
      </c>
      <c r="G41" s="223"/>
      <c r="H41" s="416"/>
      <c r="I41" s="416"/>
      <c r="J41" s="416"/>
      <c r="K41" s="113"/>
      <c r="L41" s="4"/>
    </row>
    <row r="42" spans="1:12" ht="17.5">
      <c r="A42" s="91"/>
      <c r="B42" s="93"/>
      <c r="C42" s="92"/>
      <c r="D42" s="417" t="s">
        <v>486</v>
      </c>
      <c r="E42" s="417" t="s">
        <v>486</v>
      </c>
      <c r="F42" s="417" t="s">
        <v>486</v>
      </c>
      <c r="G42" s="417" t="s">
        <v>486</v>
      </c>
      <c r="H42" s="417" t="s">
        <v>486</v>
      </c>
      <c r="I42" s="417" t="s">
        <v>486</v>
      </c>
      <c r="J42" s="417" t="s">
        <v>486</v>
      </c>
      <c r="K42" s="13"/>
      <c r="L42" s="5"/>
    </row>
    <row r="43" spans="1:12" ht="17.5">
      <c r="A43" s="91" t="s">
        <v>0</v>
      </c>
      <c r="B43" s="93" t="s">
        <v>3</v>
      </c>
      <c r="C43" s="92" t="s">
        <v>5</v>
      </c>
      <c r="D43" s="92" t="s">
        <v>12</v>
      </c>
      <c r="E43" s="97" t="s">
        <v>186</v>
      </c>
      <c r="F43" s="97" t="s">
        <v>336</v>
      </c>
      <c r="G43" s="92" t="s">
        <v>245</v>
      </c>
      <c r="H43" s="97" t="s">
        <v>16</v>
      </c>
      <c r="I43" s="97" t="s">
        <v>17</v>
      </c>
      <c r="J43" s="97" t="s">
        <v>83</v>
      </c>
      <c r="K43" s="13"/>
      <c r="L43" s="5"/>
    </row>
    <row r="44" spans="1:12" ht="18" thickBot="1">
      <c r="A44" s="98" t="s">
        <v>2</v>
      </c>
      <c r="B44" s="100" t="s">
        <v>4</v>
      </c>
      <c r="C44" s="99" t="s">
        <v>6</v>
      </c>
      <c r="D44" s="99" t="s">
        <v>14</v>
      </c>
      <c r="E44" s="99" t="s">
        <v>14</v>
      </c>
      <c r="F44" s="99" t="s">
        <v>349</v>
      </c>
      <c r="G44" s="99" t="s">
        <v>14</v>
      </c>
      <c r="H44" s="99" t="s">
        <v>404</v>
      </c>
      <c r="I44" s="99" t="s">
        <v>0</v>
      </c>
      <c r="J44" s="99" t="s">
        <v>403</v>
      </c>
      <c r="K44" s="13"/>
      <c r="L44" s="1"/>
    </row>
    <row r="45" spans="1:12" ht="17">
      <c r="A45" s="103" t="s">
        <v>7</v>
      </c>
      <c r="B45" s="44" t="s">
        <v>7</v>
      </c>
      <c r="C45" s="104" t="s">
        <v>7</v>
      </c>
      <c r="D45" s="104" t="s">
        <v>15</v>
      </c>
      <c r="E45" s="104" t="s">
        <v>8</v>
      </c>
      <c r="F45" s="104" t="s">
        <v>8</v>
      </c>
      <c r="G45" s="104" t="s">
        <v>8</v>
      </c>
      <c r="H45" s="104" t="s">
        <v>15</v>
      </c>
      <c r="I45" s="104" t="s">
        <v>15</v>
      </c>
      <c r="J45" s="104" t="s">
        <v>15</v>
      </c>
      <c r="K45" s="13"/>
      <c r="L45" s="5"/>
    </row>
    <row r="46" spans="1:12" ht="17.5">
      <c r="A46" s="91"/>
      <c r="B46" s="93"/>
      <c r="C46" s="92"/>
      <c r="D46" s="421"/>
      <c r="E46" s="421"/>
      <c r="F46" s="421"/>
      <c r="G46" s="421"/>
      <c r="H46" s="105"/>
      <c r="I46" s="105"/>
      <c r="J46" s="105"/>
      <c r="K46" s="13"/>
      <c r="L46" s="4"/>
    </row>
    <row r="47" spans="1:12" ht="17.5">
      <c r="A47" s="106" t="str">
        <f t="shared" ref="A47:C57" si="1">+A22</f>
        <v>ALLETE Inc</v>
      </c>
      <c r="B47" s="93" t="str">
        <f t="shared" si="1"/>
        <v>ALE</v>
      </c>
      <c r="C47" s="92" t="str">
        <f t="shared" si="1"/>
        <v>Electric Utility - Cent</v>
      </c>
      <c r="D47" s="422">
        <f t="shared" ref="D47:D57" si="2">(+H22)*G22</f>
        <v>3522816000</v>
      </c>
      <c r="E47" s="424">
        <f>(1/1)*I22</f>
        <v>0</v>
      </c>
      <c r="F47" s="422">
        <v>12700000</v>
      </c>
      <c r="G47" s="422">
        <f>J22*(1670.6/1799.4)</f>
        <v>1663079793.2644215</v>
      </c>
      <c r="H47" s="317">
        <f>+D47+E47+F47+G47</f>
        <v>5198595793.2644215</v>
      </c>
      <c r="I47" s="418">
        <f t="shared" ref="I47:I62" si="3">(+D47)/H47</f>
        <v>0.67764760717968275</v>
      </c>
      <c r="J47" s="418">
        <f>(+E47+F47+G47)/H47</f>
        <v>0.32235239282031725</v>
      </c>
      <c r="K47" s="13"/>
      <c r="L47" s="4"/>
    </row>
    <row r="48" spans="1:12" ht="17.5">
      <c r="A48" s="106" t="str">
        <f t="shared" si="1"/>
        <v>Alliant Energy</v>
      </c>
      <c r="B48" s="93" t="str">
        <f t="shared" si="1"/>
        <v>LNT</v>
      </c>
      <c r="C48" s="92" t="str">
        <f t="shared" si="1"/>
        <v>Electric Utility - Cent</v>
      </c>
      <c r="D48" s="422">
        <f t="shared" si="2"/>
        <v>13137768302.4</v>
      </c>
      <c r="E48" s="422">
        <f>(194.8/200)*I23</f>
        <v>0</v>
      </c>
      <c r="F48" s="422">
        <v>23000000</v>
      </c>
      <c r="G48" s="422">
        <f>J23*(8076/9034)</f>
        <v>8076000000</v>
      </c>
      <c r="H48" s="317">
        <f t="shared" ref="H48:H62" si="4">+D48+E48+F48+G48</f>
        <v>21236768302.400002</v>
      </c>
      <c r="I48" s="418">
        <f t="shared" si="3"/>
        <v>0.61863312323821318</v>
      </c>
      <c r="J48" s="418">
        <f t="shared" ref="J48:J62" si="5">(+E48+F48+G48)/H48</f>
        <v>0.38136687676178671</v>
      </c>
      <c r="K48" s="13"/>
      <c r="L48" s="4"/>
    </row>
    <row r="49" spans="1:12" ht="17.5">
      <c r="A49" s="106" t="str">
        <f t="shared" si="1"/>
        <v>AMEREN Corporation</v>
      </c>
      <c r="B49" s="93" t="str">
        <f t="shared" si="1"/>
        <v>AEE</v>
      </c>
      <c r="C49" s="92" t="str">
        <f t="shared" si="1"/>
        <v>Electric Utility - Cent</v>
      </c>
      <c r="D49" s="422">
        <f t="shared" si="2"/>
        <v>19264142000</v>
      </c>
      <c r="E49" s="422">
        <f t="shared" ref="E49:E57" si="6">(1/1)*I24</f>
        <v>0</v>
      </c>
      <c r="F49" s="422"/>
      <c r="G49" s="422">
        <f>J24*(14833/15970)</f>
        <v>14833000000</v>
      </c>
      <c r="H49" s="317">
        <f t="shared" si="4"/>
        <v>34097142000</v>
      </c>
      <c r="I49" s="418">
        <f t="shared" si="3"/>
        <v>0.56497820257193399</v>
      </c>
      <c r="J49" s="418">
        <f t="shared" si="5"/>
        <v>0.43502179742806596</v>
      </c>
      <c r="K49" s="13"/>
      <c r="L49" s="4"/>
    </row>
    <row r="50" spans="1:12" ht="17.5">
      <c r="A50" s="106" t="str">
        <f t="shared" si="1"/>
        <v>American Electric Power</v>
      </c>
      <c r="B50" s="93" t="str">
        <f t="shared" si="1"/>
        <v>AEP</v>
      </c>
      <c r="C50" s="92" t="str">
        <f t="shared" si="1"/>
        <v>Electric Utility - Cent</v>
      </c>
      <c r="D50" s="422">
        <f t="shared" si="2"/>
        <v>42736711993.699997</v>
      </c>
      <c r="E50" s="422">
        <f t="shared" si="6"/>
        <v>42500000</v>
      </c>
      <c r="F50" s="422">
        <v>635100000</v>
      </c>
      <c r="G50" s="422">
        <f>J25*(37325.7/40143.2)</f>
        <v>37325700000</v>
      </c>
      <c r="H50" s="317">
        <f t="shared" si="4"/>
        <v>80740011993.699997</v>
      </c>
      <c r="I50" s="418">
        <f t="shared" si="3"/>
        <v>0.52931267829183215</v>
      </c>
      <c r="J50" s="418">
        <f t="shared" si="5"/>
        <v>0.47068732170816785</v>
      </c>
      <c r="K50" s="13"/>
      <c r="L50" s="4"/>
    </row>
    <row r="51" spans="1:12" ht="17.5">
      <c r="A51" s="106" t="str">
        <f t="shared" si="1"/>
        <v>Centerpoint Energy</v>
      </c>
      <c r="B51" s="93" t="str">
        <f t="shared" si="1"/>
        <v>CNP</v>
      </c>
      <c r="C51" s="92" t="str">
        <f t="shared" si="1"/>
        <v>Electric Utility - Cent</v>
      </c>
      <c r="D51" s="422">
        <f t="shared" si="2"/>
        <v>18034121934.529999</v>
      </c>
      <c r="E51" s="422">
        <f t="shared" si="6"/>
        <v>0</v>
      </c>
      <c r="F51" s="422">
        <v>13000000</v>
      </c>
      <c r="G51" s="317">
        <f>J26*(17804/18609)</f>
        <v>17804000000</v>
      </c>
      <c r="H51" s="317">
        <f t="shared" si="4"/>
        <v>35851121934.529999</v>
      </c>
      <c r="I51" s="418">
        <f t="shared" si="3"/>
        <v>0.50302810515841734</v>
      </c>
      <c r="J51" s="418">
        <f t="shared" si="5"/>
        <v>0.49697189484158266</v>
      </c>
      <c r="K51" s="13"/>
      <c r="L51" s="4"/>
    </row>
    <row r="52" spans="1:12" ht="17.5">
      <c r="A52" s="106" t="str">
        <f t="shared" si="1"/>
        <v>CMS Energy</v>
      </c>
      <c r="B52" s="93" t="str">
        <f t="shared" si="1"/>
        <v>CMS</v>
      </c>
      <c r="C52" s="92" t="str">
        <f t="shared" si="1"/>
        <v>Electric Utility - Cent</v>
      </c>
      <c r="D52" s="422">
        <f t="shared" si="2"/>
        <v>17095808000</v>
      </c>
      <c r="E52" s="422">
        <f t="shared" si="6"/>
        <v>224000000</v>
      </c>
      <c r="F52" s="422">
        <v>26000000</v>
      </c>
      <c r="G52" s="317">
        <f>J27*(14305/15483)</f>
        <v>14366902409.093845</v>
      </c>
      <c r="H52" s="317">
        <f t="shared" si="4"/>
        <v>31712710409.093845</v>
      </c>
      <c r="I52" s="418">
        <f t="shared" si="3"/>
        <v>0.53908378626311471</v>
      </c>
      <c r="J52" s="418">
        <f t="shared" si="5"/>
        <v>0.46091621373688529</v>
      </c>
      <c r="K52" s="13"/>
      <c r="L52" s="4"/>
    </row>
    <row r="53" spans="1:12" ht="17.5">
      <c r="A53" s="106" t="str">
        <f t="shared" si="1"/>
        <v>DTE Energy</v>
      </c>
      <c r="B53" s="93" t="str">
        <f t="shared" si="1"/>
        <v>DTE</v>
      </c>
      <c r="C53" s="92" t="str">
        <f t="shared" si="1"/>
        <v>Electric Utility - Cent</v>
      </c>
      <c r="D53" s="422">
        <f t="shared" si="2"/>
        <v>22752930538.200001</v>
      </c>
      <c r="E53" s="422">
        <f t="shared" si="6"/>
        <v>0</v>
      </c>
      <c r="F53" s="422">
        <v>125000000</v>
      </c>
      <c r="G53" s="422">
        <f>J28*((181+1283+34+807+16178+1202)/19546)</f>
        <v>19701113782.871174</v>
      </c>
      <c r="H53" s="317">
        <f t="shared" si="4"/>
        <v>42579044321.071175</v>
      </c>
      <c r="I53" s="418">
        <f t="shared" si="3"/>
        <v>0.53436921614842858</v>
      </c>
      <c r="J53" s="418">
        <f t="shared" si="5"/>
        <v>0.46563078385157147</v>
      </c>
      <c r="K53" s="13"/>
      <c r="L53" s="4"/>
    </row>
    <row r="54" spans="1:12" ht="17.5">
      <c r="A54" s="106" t="str">
        <f t="shared" si="1"/>
        <v>Duke Energy</v>
      </c>
      <c r="B54" s="93" t="str">
        <f t="shared" si="1"/>
        <v>DUK</v>
      </c>
      <c r="C54" s="92" t="str">
        <f t="shared" si="1"/>
        <v>Electric Utility - East</v>
      </c>
      <c r="D54" s="422">
        <f t="shared" si="2"/>
        <v>74817840000</v>
      </c>
      <c r="E54" s="422">
        <f t="shared" si="6"/>
        <v>1962000000</v>
      </c>
      <c r="F54" s="422">
        <v>1105000000</v>
      </c>
      <c r="G54" s="422">
        <f>J29*(69790/75252)</f>
        <v>69790000000</v>
      </c>
      <c r="H54" s="317">
        <f t="shared" si="4"/>
        <v>147674840000</v>
      </c>
      <c r="I54" s="418">
        <f t="shared" si="3"/>
        <v>0.50663904562212492</v>
      </c>
      <c r="J54" s="418">
        <f t="shared" si="5"/>
        <v>0.49336095437787508</v>
      </c>
      <c r="K54" s="13"/>
      <c r="L54" s="4"/>
    </row>
    <row r="55" spans="1:12" ht="17.5">
      <c r="A55" s="106" t="str">
        <f t="shared" si="1"/>
        <v>Entergy Corp</v>
      </c>
      <c r="B55" s="93" t="str">
        <f t="shared" si="1"/>
        <v>ETR</v>
      </c>
      <c r="C55" s="92" t="str">
        <f t="shared" si="1"/>
        <v>Electric Utility - Cent</v>
      </c>
      <c r="D55" s="422">
        <f t="shared" si="2"/>
        <v>21538146798.299999</v>
      </c>
      <c r="E55" s="422">
        <f t="shared" si="6"/>
        <v>0</v>
      </c>
      <c r="F55" s="422">
        <v>207416000</v>
      </c>
      <c r="G55" s="422">
        <f>J30*(22489174/23008839)</f>
        <v>24540822851.509544</v>
      </c>
      <c r="H55" s="317">
        <f t="shared" si="4"/>
        <v>46286385649.80954</v>
      </c>
      <c r="I55" s="418">
        <f t="shared" si="3"/>
        <v>0.46532358264591839</v>
      </c>
      <c r="J55" s="418">
        <f t="shared" si="5"/>
        <v>0.53467641735408167</v>
      </c>
      <c r="K55" s="13"/>
      <c r="L55" s="4"/>
    </row>
    <row r="56" spans="1:12" ht="17.5">
      <c r="A56" s="106" t="str">
        <f t="shared" si="1"/>
        <v>Evergy Inc</v>
      </c>
      <c r="B56" s="93" t="str">
        <f t="shared" si="1"/>
        <v>EVRG</v>
      </c>
      <c r="C56" s="92" t="str">
        <f t="shared" si="1"/>
        <v>Electric Utility - Cent</v>
      </c>
      <c r="D56" s="422">
        <f t="shared" si="2"/>
        <v>11991869251.200001</v>
      </c>
      <c r="E56" s="422">
        <f t="shared" si="6"/>
        <v>0</v>
      </c>
      <c r="F56" s="422">
        <v>71400000</v>
      </c>
      <c r="G56" s="422">
        <f>J31*(11044.9/11853.3)</f>
        <v>11044900000</v>
      </c>
      <c r="H56" s="317">
        <f t="shared" si="4"/>
        <v>23108169251.200001</v>
      </c>
      <c r="I56" s="418">
        <f t="shared" si="3"/>
        <v>0.51894501554151751</v>
      </c>
      <c r="J56" s="418">
        <f t="shared" si="5"/>
        <v>0.48105498445848249</v>
      </c>
      <c r="K56" s="13"/>
      <c r="L56" s="4"/>
    </row>
    <row r="57" spans="1:12" ht="17.5">
      <c r="A57" s="106" t="str">
        <f t="shared" si="1"/>
        <v>FirstEnergy Corp</v>
      </c>
      <c r="B57" s="93" t="str">
        <f t="shared" si="1"/>
        <v>FE</v>
      </c>
      <c r="C57" s="92" t="str">
        <f t="shared" si="1"/>
        <v>Electric Utility - East</v>
      </c>
      <c r="D57" s="422">
        <f t="shared" si="2"/>
        <v>21055135617.359997</v>
      </c>
      <c r="E57" s="422">
        <f t="shared" si="6"/>
        <v>0</v>
      </c>
      <c r="F57" s="422">
        <v>226000000</v>
      </c>
      <c r="G57" s="422">
        <f>J32*(23003/24254)</f>
        <v>22890137915.395397</v>
      </c>
      <c r="H57" s="317">
        <f t="shared" si="4"/>
        <v>44171273532.755394</v>
      </c>
      <c r="I57" s="418">
        <f t="shared" si="3"/>
        <v>0.47667033194654151</v>
      </c>
      <c r="J57" s="418">
        <f t="shared" si="5"/>
        <v>0.52332966805345849</v>
      </c>
      <c r="K57" s="13"/>
      <c r="L57" s="4"/>
    </row>
    <row r="58" spans="1:12" ht="17.5">
      <c r="A58" s="106" t="str">
        <f t="shared" ref="A58:C62" si="7">+A33</f>
        <v>OGE Energy Corp.</v>
      </c>
      <c r="B58" s="93" t="str">
        <f t="shared" si="7"/>
        <v>OGE</v>
      </c>
      <c r="C58" s="92" t="str">
        <f t="shared" si="7"/>
        <v>Electric Utility - Cent</v>
      </c>
      <c r="D58" s="422">
        <f t="shared" ref="D58:D62" si="8">(+H33)*G33</f>
        <v>6996479000</v>
      </c>
      <c r="E58" s="422">
        <f t="shared" ref="E58:E60" si="9">(1/1)*I33</f>
        <v>0</v>
      </c>
      <c r="F58" s="422">
        <v>30500000</v>
      </c>
      <c r="G58" s="422">
        <f>(50+3922.3+135.4+7.1)*1000000</f>
        <v>4114800000</v>
      </c>
      <c r="H58" s="317">
        <f t="shared" si="4"/>
        <v>11141779000</v>
      </c>
      <c r="I58" s="418">
        <f t="shared" si="3"/>
        <v>0.62794989920370881</v>
      </c>
      <c r="J58" s="418">
        <f t="shared" si="5"/>
        <v>0.37205010079629114</v>
      </c>
      <c r="K58" s="13"/>
      <c r="L58" s="4"/>
    </row>
    <row r="59" spans="1:12" ht="17.5">
      <c r="A59" s="106" t="str">
        <f t="shared" si="7"/>
        <v>Otter Tail Corp</v>
      </c>
      <c r="B59" s="93" t="str">
        <f t="shared" si="7"/>
        <v>OTTR</v>
      </c>
      <c r="C59" s="92" t="str">
        <f t="shared" si="7"/>
        <v>Electric Utility - Cent</v>
      </c>
      <c r="D59" s="422">
        <f t="shared" si="8"/>
        <v>3544142969.3699999</v>
      </c>
      <c r="E59" s="422">
        <f t="shared" si="9"/>
        <v>0</v>
      </c>
      <c r="F59" s="422">
        <v>17014000</v>
      </c>
      <c r="G59" s="422">
        <f>J34*(792261/905481)</f>
        <v>792261000</v>
      </c>
      <c r="H59" s="317">
        <f t="shared" si="4"/>
        <v>4353417969.3699999</v>
      </c>
      <c r="I59" s="418">
        <f t="shared" si="3"/>
        <v>0.81410583461226593</v>
      </c>
      <c r="J59" s="418">
        <f t="shared" si="5"/>
        <v>0.18589416538773404</v>
      </c>
      <c r="K59" s="13"/>
      <c r="L59" s="4"/>
    </row>
    <row r="60" spans="1:12" ht="17.5">
      <c r="A60" s="106" t="str">
        <f t="shared" si="7"/>
        <v>PPL Corporation</v>
      </c>
      <c r="B60" s="93" t="str">
        <f t="shared" si="7"/>
        <v>PPL</v>
      </c>
      <c r="C60" s="92" t="str">
        <f t="shared" si="7"/>
        <v>Electric Utility - East</v>
      </c>
      <c r="D60" s="422">
        <f t="shared" si="8"/>
        <v>19976223000</v>
      </c>
      <c r="E60" s="422">
        <f t="shared" si="9"/>
        <v>0</v>
      </c>
      <c r="F60" s="422">
        <v>104000000</v>
      </c>
      <c r="G60" s="422">
        <f>J35*(14031/14612)</f>
        <v>14031000000</v>
      </c>
      <c r="H60" s="317">
        <f t="shared" si="4"/>
        <v>34111223000</v>
      </c>
      <c r="I60" s="418">
        <f t="shared" si="3"/>
        <v>0.58562025172770849</v>
      </c>
      <c r="J60" s="418">
        <f t="shared" si="5"/>
        <v>0.41437974827229151</v>
      </c>
      <c r="K60" s="13"/>
      <c r="L60" s="4"/>
    </row>
    <row r="61" spans="1:12" ht="17.5">
      <c r="A61" s="106" t="str">
        <f t="shared" si="7"/>
        <v>The Southern Company</v>
      </c>
      <c r="B61" s="93" t="str">
        <f t="shared" si="7"/>
        <v>SO</v>
      </c>
      <c r="C61" s="92" t="str">
        <f>+C36</f>
        <v>Electric Utility - East</v>
      </c>
      <c r="D61" s="422">
        <f t="shared" si="8"/>
        <v>77061880000</v>
      </c>
      <c r="E61" s="422">
        <f>(1.028554553)*I36</f>
        <v>0</v>
      </c>
      <c r="F61" s="422">
        <f>1307000000+183000000</f>
        <v>1490000000</v>
      </c>
      <c r="G61" s="422">
        <f>J36*(55/59.4)</f>
        <v>55264814814.814812</v>
      </c>
      <c r="H61" s="317">
        <f t="shared" si="4"/>
        <v>133816694814.81482</v>
      </c>
      <c r="I61" s="418">
        <f t="shared" si="3"/>
        <v>0.57587642638045855</v>
      </c>
      <c r="J61" s="418">
        <f t="shared" si="5"/>
        <v>0.42412357361954134</v>
      </c>
      <c r="K61" s="13"/>
      <c r="L61" s="4"/>
    </row>
    <row r="62" spans="1:12" ht="18" thickBot="1">
      <c r="A62" s="110" t="str">
        <f t="shared" si="7"/>
        <v>WEC Energy Group</v>
      </c>
      <c r="B62" s="100" t="str">
        <f t="shared" si="7"/>
        <v>WEC</v>
      </c>
      <c r="C62" s="99" t="str">
        <f t="shared" si="7"/>
        <v>Electric Utility - Cent</v>
      </c>
      <c r="D62" s="423">
        <f t="shared" si="8"/>
        <v>26550124474.27</v>
      </c>
      <c r="E62" s="423">
        <f>(1/1)*I37</f>
        <v>30400000</v>
      </c>
      <c r="F62" s="423">
        <v>43500000</v>
      </c>
      <c r="G62" s="423">
        <f>15564300000+145900000</f>
        <v>15710200000</v>
      </c>
      <c r="H62" s="321">
        <f t="shared" si="4"/>
        <v>42334224474.270004</v>
      </c>
      <c r="I62" s="419">
        <f t="shared" si="3"/>
        <v>0.62715509269354153</v>
      </c>
      <c r="J62" s="419">
        <f t="shared" si="5"/>
        <v>0.37284490730645836</v>
      </c>
      <c r="K62" s="13"/>
    </row>
    <row r="63" spans="1:12" ht="17.5">
      <c r="A63" s="13"/>
      <c r="B63" s="13"/>
      <c r="C63" s="13"/>
      <c r="D63" s="13"/>
      <c r="E63" s="13"/>
      <c r="F63" s="13"/>
      <c r="G63" s="13"/>
      <c r="H63" s="121" t="s">
        <v>65</v>
      </c>
      <c r="I63" s="125">
        <f>MAX(I47:I62)</f>
        <v>0.81410583461226593</v>
      </c>
      <c r="J63" s="125">
        <f>MAX(J47:J62)</f>
        <v>0.53467641735408167</v>
      </c>
      <c r="K63" s="13"/>
    </row>
    <row r="64" spans="1:12" ht="17.5">
      <c r="G64" s="13"/>
      <c r="H64" s="326" t="s">
        <v>66</v>
      </c>
      <c r="I64" s="327">
        <f>MIN(I47:I62)</f>
        <v>0.46532358264591839</v>
      </c>
      <c r="J64" s="327">
        <f>MIN(J47:J62)</f>
        <v>0.18589416538773404</v>
      </c>
      <c r="K64" s="13"/>
    </row>
    <row r="65" spans="1:11" ht="17.5">
      <c r="G65" s="13" t="s">
        <v>0</v>
      </c>
      <c r="H65" s="15" t="s">
        <v>18</v>
      </c>
      <c r="I65" s="123">
        <f>MEDIAN(I47:I62)</f>
        <v>0.55203099441752435</v>
      </c>
      <c r="J65" s="124">
        <f>MEDIAN(J47:J62)</f>
        <v>0.44796900558247565</v>
      </c>
      <c r="K65" s="13"/>
    </row>
    <row r="66" spans="1:11" ht="17.5">
      <c r="G66" s="13" t="s">
        <v>0</v>
      </c>
      <c r="H66" s="15" t="s">
        <v>441</v>
      </c>
      <c r="I66" s="123">
        <f>AVERAGE(I47:I62)</f>
        <v>0.57283363745158811</v>
      </c>
      <c r="J66" s="124">
        <f>AVERAGE(J47:J62)</f>
        <v>0.42716636254841189</v>
      </c>
      <c r="K66" s="13"/>
    </row>
    <row r="67" spans="1:11" ht="18" thickBot="1">
      <c r="D67" t="s">
        <v>0</v>
      </c>
      <c r="G67" s="13"/>
      <c r="H67" s="13"/>
      <c r="I67" s="65"/>
      <c r="J67" s="65"/>
      <c r="K67" s="13"/>
    </row>
    <row r="68" spans="1:11" ht="26" thickBot="1">
      <c r="G68" s="13"/>
      <c r="H68" s="212" t="s">
        <v>247</v>
      </c>
      <c r="I68" s="394">
        <v>0.56999999999999995</v>
      </c>
      <c r="J68" s="395">
        <v>0.43</v>
      </c>
      <c r="K68" s="13"/>
    </row>
    <row r="69" spans="1:11" ht="17.5">
      <c r="E69" s="122"/>
      <c r="F69" s="13"/>
      <c r="G69" s="13"/>
      <c r="H69" s="13"/>
      <c r="I69" s="65"/>
      <c r="J69" s="65" t="s">
        <v>0</v>
      </c>
      <c r="K69" s="13"/>
    </row>
    <row r="70" spans="1:11" ht="17">
      <c r="E70" s="122"/>
      <c r="F70" s="13"/>
      <c r="G70" s="13"/>
      <c r="H70" s="13"/>
      <c r="I70" s="13"/>
      <c r="J70" s="13"/>
      <c r="K70" s="13"/>
    </row>
    <row r="71" spans="1:11" ht="17">
      <c r="E71" s="122"/>
      <c r="F71" s="13"/>
      <c r="G71" s="13"/>
      <c r="H71" s="13"/>
      <c r="I71" s="13"/>
      <c r="J71" s="13"/>
      <c r="K71" s="13"/>
    </row>
    <row r="72" spans="1:11" ht="26">
      <c r="A72" s="24" t="s">
        <v>106</v>
      </c>
      <c r="B72" s="13"/>
      <c r="C72" s="77"/>
      <c r="D72" s="126"/>
      <c r="E72" s="122"/>
      <c r="F72" s="13"/>
      <c r="G72" s="13"/>
      <c r="H72" s="13"/>
      <c r="I72" s="13"/>
      <c r="J72" s="13"/>
      <c r="K72" s="13"/>
    </row>
    <row r="73" spans="1:11" ht="17.5">
      <c r="A73" s="149" t="s">
        <v>88</v>
      </c>
      <c r="B73" s="13"/>
      <c r="C73" s="77"/>
      <c r="D73" s="126"/>
      <c r="E73" s="122"/>
      <c r="F73" s="13"/>
      <c r="G73" s="13"/>
      <c r="H73" s="13"/>
      <c r="I73" s="13"/>
      <c r="J73" s="13"/>
      <c r="K73" s="13"/>
    </row>
    <row r="74" spans="1:11" ht="17.5">
      <c r="A74" s="65" t="s">
        <v>421</v>
      </c>
      <c r="B74" s="13"/>
      <c r="C74" s="77"/>
      <c r="D74" s="126"/>
      <c r="E74" s="122"/>
      <c r="F74" s="13"/>
      <c r="G74" s="13"/>
      <c r="H74" s="13"/>
      <c r="I74" s="13"/>
      <c r="J74" s="13"/>
      <c r="K74" s="13"/>
    </row>
    <row r="75" spans="1:11" ht="17.5">
      <c r="A75" s="113" t="s">
        <v>190</v>
      </c>
      <c r="E75" s="77" t="s">
        <v>0</v>
      </c>
    </row>
    <row r="76" spans="1:11" ht="17.5">
      <c r="A76" s="113" t="s">
        <v>188</v>
      </c>
    </row>
    <row r="77" spans="1:11" ht="17.5">
      <c r="A77" s="113" t="s">
        <v>189</v>
      </c>
    </row>
    <row r="78" spans="1:11" ht="17.5">
      <c r="A78" s="113" t="s">
        <v>356</v>
      </c>
    </row>
    <row r="81" spans="1:1" ht="26">
      <c r="A81" s="279" t="s">
        <v>357</v>
      </c>
    </row>
    <row r="82" spans="1:1" ht="17.5">
      <c r="A82" s="324" t="s">
        <v>416</v>
      </c>
    </row>
    <row r="83" spans="1:1" ht="17.5">
      <c r="A83" s="148" t="s">
        <v>0</v>
      </c>
    </row>
    <row r="84" spans="1:1" ht="26">
      <c r="A84" s="279" t="s">
        <v>358</v>
      </c>
    </row>
    <row r="85" spans="1:1" ht="17.5">
      <c r="A85" s="148" t="s">
        <v>413</v>
      </c>
    </row>
    <row r="86" spans="1:1" ht="17.5">
      <c r="A86" s="148" t="s">
        <v>0</v>
      </c>
    </row>
    <row r="87" spans="1:1" ht="26">
      <c r="A87" s="279" t="s">
        <v>414</v>
      </c>
    </row>
    <row r="88" spans="1:1" ht="17.5">
      <c r="A88" s="148" t="s">
        <v>415</v>
      </c>
    </row>
  </sheetData>
  <pageMargins left="0.25" right="0.25" top="0.75" bottom="0.75" header="0.3" footer="0.3"/>
  <pageSetup scale="31" orientation="landscape" r:id="rId1"/>
  <rowBreaks count="1" manualBreakCount="1">
    <brk id="68" max="11" man="1"/>
  </rowBreaks>
  <colBreaks count="1" manualBreakCount="1">
    <brk id="11" max="96" man="1"/>
  </colBreaks>
  <ignoredErrors>
    <ignoredError sqref="E48"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J78"/>
  <sheetViews>
    <sheetView view="pageBreakPreview" topLeftCell="A24" zoomScale="60" zoomScaleNormal="80" zoomScalePageLayoutView="70" workbookViewId="0">
      <pane xSplit="1" topLeftCell="B1" activePane="topRight" state="frozen"/>
      <selection activeCell="F4" sqref="F4"/>
      <selection pane="topRight" activeCell="E39" sqref="E39"/>
    </sheetView>
  </sheetViews>
  <sheetFormatPr defaultRowHeight="14.5"/>
  <cols>
    <col min="1" max="1" width="62.453125" customWidth="1"/>
    <col min="2" max="2" width="11.54296875" bestFit="1" customWidth="1"/>
    <col min="3" max="3" width="24.1796875" customWidth="1"/>
    <col min="4" max="4" width="30.1796875" customWidth="1"/>
    <col min="5" max="5" width="28" customWidth="1"/>
    <col min="6" max="6" width="29.1796875" customWidth="1"/>
    <col min="7" max="7" width="23.453125" customWidth="1"/>
    <col min="8" max="8" width="12.81640625" customWidth="1"/>
    <col min="9" max="9" width="25.81640625" bestFit="1" customWidth="1"/>
    <col min="10" max="10" width="30.1796875" bestFit="1" customWidth="1"/>
    <col min="11" max="11" width="9.1796875" customWidth="1"/>
  </cols>
  <sheetData>
    <row r="1" spans="1:9" ht="25.5">
      <c r="A1" s="25" t="s">
        <v>1</v>
      </c>
      <c r="B1" s="13"/>
      <c r="C1" s="13"/>
      <c r="D1" s="13"/>
      <c r="E1" s="13"/>
      <c r="F1" s="13"/>
      <c r="G1" s="13"/>
      <c r="H1" s="13"/>
    </row>
    <row r="2" spans="1:9" ht="17.5">
      <c r="A2" s="26" t="s">
        <v>9</v>
      </c>
      <c r="B2" s="13"/>
      <c r="C2" s="13"/>
      <c r="D2" s="13"/>
      <c r="E2" s="13"/>
      <c r="F2" s="13"/>
      <c r="G2" s="13"/>
      <c r="H2" s="13"/>
    </row>
    <row r="3" spans="1:9" ht="17">
      <c r="A3" s="27" t="s">
        <v>483</v>
      </c>
      <c r="B3" s="13"/>
      <c r="C3" s="13"/>
      <c r="D3" s="13"/>
      <c r="E3" s="13"/>
      <c r="F3" s="13"/>
      <c r="G3" s="13"/>
      <c r="H3" s="13"/>
    </row>
    <row r="4" spans="1:9" ht="17">
      <c r="A4" s="27"/>
      <c r="B4" s="13"/>
      <c r="C4" s="13"/>
      <c r="D4" s="13"/>
      <c r="E4" s="13"/>
      <c r="F4" s="210" t="s">
        <v>0</v>
      </c>
      <c r="G4" s="13"/>
      <c r="H4" s="13"/>
    </row>
    <row r="5" spans="1:9" ht="17">
      <c r="B5" s="13"/>
      <c r="C5" s="13"/>
      <c r="D5" s="13"/>
      <c r="E5" s="28"/>
      <c r="F5" s="210" t="s">
        <v>0</v>
      </c>
      <c r="G5" s="13"/>
      <c r="H5" s="13" t="s">
        <v>0</v>
      </c>
    </row>
    <row r="6" spans="1:9" ht="17">
      <c r="A6" s="89"/>
      <c r="B6" s="36"/>
      <c r="C6" s="36"/>
      <c r="D6" s="36"/>
      <c r="E6" s="36"/>
      <c r="F6" s="36"/>
      <c r="G6" s="15"/>
      <c r="H6" s="88"/>
      <c r="I6" s="3"/>
    </row>
    <row r="7" spans="1:9" ht="17">
      <c r="A7" s="45"/>
      <c r="B7" s="45"/>
      <c r="C7" s="45"/>
      <c r="D7" s="45"/>
      <c r="E7" s="45"/>
      <c r="F7" s="45"/>
      <c r="G7" s="45"/>
      <c r="H7" s="45"/>
      <c r="I7" s="2"/>
    </row>
    <row r="8" spans="1:9" ht="17.5" thickBot="1">
      <c r="A8" s="45"/>
      <c r="B8" s="45"/>
      <c r="C8" s="45"/>
      <c r="D8" s="90"/>
      <c r="E8" s="30"/>
      <c r="F8" s="90"/>
      <c r="H8" s="45"/>
      <c r="I8" s="2"/>
    </row>
    <row r="9" spans="1:9" ht="26" thickBot="1">
      <c r="A9" s="29" t="str">
        <f>+'S&amp;D'!A12</f>
        <v>Electric Utilities</v>
      </c>
      <c r="B9" s="45"/>
      <c r="C9" s="45"/>
      <c r="D9" s="45"/>
      <c r="E9" s="33" t="s">
        <v>347</v>
      </c>
      <c r="F9" s="45"/>
      <c r="H9" s="13"/>
    </row>
    <row r="10" spans="1:9" ht="21.5" thickBot="1">
      <c r="A10" s="32"/>
      <c r="B10" s="45"/>
      <c r="C10" s="45"/>
      <c r="D10" s="90"/>
      <c r="E10" s="34" t="s">
        <v>484</v>
      </c>
      <c r="F10" s="90"/>
      <c r="H10" s="13"/>
    </row>
    <row r="11" spans="1:9" ht="21">
      <c r="A11" s="32"/>
      <c r="B11" s="45"/>
      <c r="C11" s="45"/>
      <c r="D11" s="45"/>
      <c r="E11" s="36"/>
      <c r="F11" s="45"/>
      <c r="H11" s="13"/>
    </row>
    <row r="12" spans="1:9" ht="21">
      <c r="A12" s="32"/>
      <c r="B12" s="45"/>
      <c r="C12" s="45"/>
      <c r="D12" s="45"/>
      <c r="E12" s="36"/>
      <c r="F12" s="45"/>
      <c r="H12" s="13"/>
    </row>
    <row r="13" spans="1:9" ht="21">
      <c r="A13" s="32"/>
      <c r="B13" s="45"/>
      <c r="C13" s="45"/>
      <c r="D13" s="45"/>
      <c r="E13" s="36"/>
      <c r="F13" s="45"/>
      <c r="H13" s="13"/>
    </row>
    <row r="14" spans="1:9" ht="21">
      <c r="A14" s="32"/>
      <c r="B14" s="45"/>
      <c r="C14" s="45"/>
      <c r="D14" s="45"/>
      <c r="E14" s="14" t="s">
        <v>0</v>
      </c>
      <c r="F14" s="45"/>
      <c r="H14" s="13"/>
    </row>
    <row r="15" spans="1:9" ht="17.5" thickBot="1">
      <c r="A15" s="43" t="s">
        <v>0</v>
      </c>
      <c r="B15" s="43" t="s">
        <v>0</v>
      </c>
      <c r="C15" s="43" t="s">
        <v>0</v>
      </c>
      <c r="D15" s="43"/>
      <c r="E15" s="43"/>
      <c r="F15" s="43"/>
      <c r="H15" s="13"/>
    </row>
    <row r="16" spans="1:9" ht="17.5">
      <c r="A16" s="91"/>
      <c r="B16" s="92"/>
      <c r="C16" s="93"/>
      <c r="D16" s="249" t="s">
        <v>0</v>
      </c>
      <c r="E16" s="250" t="s">
        <v>0</v>
      </c>
      <c r="F16" s="249" t="s">
        <v>0</v>
      </c>
      <c r="H16" s="13"/>
    </row>
    <row r="17" spans="1:10" ht="17.5">
      <c r="A17" s="91" t="s">
        <v>0</v>
      </c>
      <c r="B17" s="92" t="s">
        <v>3</v>
      </c>
      <c r="C17" s="93" t="s">
        <v>5</v>
      </c>
      <c r="D17" s="94" t="s">
        <v>337</v>
      </c>
      <c r="E17" s="251" t="s">
        <v>95</v>
      </c>
      <c r="F17" s="94" t="s">
        <v>339</v>
      </c>
      <c r="H17" s="13"/>
    </row>
    <row r="18" spans="1:10" ht="17.5">
      <c r="A18" s="91"/>
      <c r="B18" s="92" t="s">
        <v>4</v>
      </c>
      <c r="C18" s="93" t="s">
        <v>6</v>
      </c>
      <c r="D18" s="94" t="s">
        <v>348</v>
      </c>
      <c r="E18" s="251" t="s">
        <v>348</v>
      </c>
      <c r="F18" s="94" t="s">
        <v>164</v>
      </c>
      <c r="H18" s="13"/>
    </row>
    <row r="19" spans="1:10" ht="18" thickBot="1">
      <c r="A19" s="98" t="s">
        <v>2</v>
      </c>
      <c r="B19" s="99" t="s">
        <v>0</v>
      </c>
      <c r="C19" s="100" t="s">
        <v>0</v>
      </c>
      <c r="D19" s="99" t="s">
        <v>0</v>
      </c>
      <c r="E19" s="119" t="s">
        <v>0</v>
      </c>
      <c r="F19" s="99" t="s">
        <v>0</v>
      </c>
      <c r="H19" s="13"/>
    </row>
    <row r="20" spans="1:10" ht="17">
      <c r="A20" s="284" t="s">
        <v>7</v>
      </c>
      <c r="B20" s="285" t="s">
        <v>7</v>
      </c>
      <c r="C20" s="286" t="s">
        <v>7</v>
      </c>
      <c r="D20" s="104" t="s">
        <v>7</v>
      </c>
      <c r="E20" s="120" t="s">
        <v>338</v>
      </c>
      <c r="F20" s="104"/>
      <c r="H20" s="13"/>
    </row>
    <row r="21" spans="1:10" ht="17.5">
      <c r="A21" s="91"/>
      <c r="B21" s="92"/>
      <c r="C21" s="252"/>
      <c r="D21" s="92"/>
      <c r="E21" s="252"/>
      <c r="F21" s="92"/>
      <c r="H21" s="13"/>
    </row>
    <row r="22" spans="1:10" ht="17.5">
      <c r="A22" s="106" t="str">
        <f>+'S&amp;D'!A22</f>
        <v>ALLETE Inc</v>
      </c>
      <c r="B22" s="91" t="str">
        <f>+'S&amp;D'!B22</f>
        <v>ALE</v>
      </c>
      <c r="C22" s="92" t="str">
        <f>+'S&amp;D'!C22</f>
        <v>Electric Utility - Cent</v>
      </c>
      <c r="D22" s="266">
        <f>+'S&amp;D'!D47</f>
        <v>3522816000</v>
      </c>
      <c r="E22" s="268">
        <f>3406600000-597000000</f>
        <v>2809600000</v>
      </c>
      <c r="F22" s="108">
        <f>+D22/E22</f>
        <v>1.2538496583143508</v>
      </c>
      <c r="H22" s="13"/>
    </row>
    <row r="23" spans="1:10" ht="17.5">
      <c r="A23" s="106" t="str">
        <f>+'S&amp;D'!A23</f>
        <v>Alliant Energy</v>
      </c>
      <c r="B23" s="91" t="str">
        <f>+'S&amp;D'!B23</f>
        <v>LNT</v>
      </c>
      <c r="C23" s="92" t="str">
        <f>+'S&amp;D'!C23</f>
        <v>Electric Utility - Cent</v>
      </c>
      <c r="D23" s="266">
        <f>+'S&amp;D'!D48</f>
        <v>13137768302.4</v>
      </c>
      <c r="E23" s="268">
        <v>6777000000</v>
      </c>
      <c r="F23" s="108">
        <f t="shared" ref="F23:F37" si="0">+D23/E23</f>
        <v>1.9385817179282867</v>
      </c>
      <c r="H23" s="13"/>
    </row>
    <row r="24" spans="1:10" ht="17.5">
      <c r="A24" s="106" t="str">
        <f>+'S&amp;D'!A24</f>
        <v>AMEREN Corporation</v>
      </c>
      <c r="B24" s="91" t="str">
        <f>+'S&amp;D'!B24</f>
        <v>AEE</v>
      </c>
      <c r="C24" s="92" t="str">
        <f>+'S&amp;D'!C24</f>
        <v>Electric Utility - Cent</v>
      </c>
      <c r="D24" s="266">
        <f>+'S&amp;D'!D49</f>
        <v>19264142000</v>
      </c>
      <c r="E24" s="268">
        <v>11478000000</v>
      </c>
      <c r="F24" s="108">
        <f t="shared" si="0"/>
        <v>1.6783535459139223</v>
      </c>
      <c r="H24" s="13"/>
    </row>
    <row r="25" spans="1:10" ht="17.5">
      <c r="A25" s="106" t="str">
        <f>+'S&amp;D'!A25</f>
        <v>American Electric Power</v>
      </c>
      <c r="B25" s="91" t="str">
        <f>+'S&amp;D'!B25</f>
        <v>AEP</v>
      </c>
      <c r="C25" s="92" t="str">
        <f>+'S&amp;D'!C25</f>
        <v>Electric Utility - Cent</v>
      </c>
      <c r="D25" s="266">
        <f>+'S&amp;D'!D50</f>
        <v>42736711993.699997</v>
      </c>
      <c r="E25" s="268">
        <v>25285900000</v>
      </c>
      <c r="F25" s="108">
        <f t="shared" si="0"/>
        <v>1.6901400382703402</v>
      </c>
      <c r="H25" s="13"/>
    </row>
    <row r="26" spans="1:10" ht="17.5">
      <c r="A26" s="106" t="str">
        <f>+'S&amp;D'!A26</f>
        <v>Centerpoint Energy</v>
      </c>
      <c r="B26" s="91" t="str">
        <f>+'S&amp;D'!B26</f>
        <v>CNP</v>
      </c>
      <c r="C26" s="92" t="str">
        <f>+'S&amp;D'!C26</f>
        <v>Electric Utility - Cent</v>
      </c>
      <c r="D26" s="266">
        <f>+'S&amp;D'!D51</f>
        <v>18034121934.529999</v>
      </c>
      <c r="E26" s="268">
        <v>9667000000</v>
      </c>
      <c r="F26" s="108">
        <f t="shared" si="0"/>
        <v>1.8655344920378607</v>
      </c>
      <c r="H26" s="13"/>
    </row>
    <row r="27" spans="1:10" ht="17.5">
      <c r="A27" s="106" t="str">
        <f>+'S&amp;D'!A27</f>
        <v>CMS Energy</v>
      </c>
      <c r="B27" s="91" t="str">
        <f>+'S&amp;D'!B27</f>
        <v>CMS</v>
      </c>
      <c r="C27" s="92" t="str">
        <f>+'S&amp;D'!C27</f>
        <v>Electric Utility - Cent</v>
      </c>
      <c r="D27" s="266">
        <f>+'S&amp;D'!D52</f>
        <v>17095808000</v>
      </c>
      <c r="E27" s="268">
        <v>7544000000</v>
      </c>
      <c r="F27" s="108">
        <f t="shared" si="0"/>
        <v>2.2661463414634144</v>
      </c>
      <c r="H27" s="13"/>
      <c r="J27" s="10" t="s">
        <v>0</v>
      </c>
    </row>
    <row r="28" spans="1:10" ht="17.5">
      <c r="A28" s="106" t="str">
        <f>+'S&amp;D'!A28</f>
        <v>DTE Energy</v>
      </c>
      <c r="B28" s="91" t="str">
        <f>+'S&amp;D'!B28</f>
        <v>DTE</v>
      </c>
      <c r="C28" s="92" t="str">
        <f>+'S&amp;D'!C28</f>
        <v>Electric Utility - Cent</v>
      </c>
      <c r="D28" s="266">
        <f>+'S&amp;D'!D53</f>
        <v>22752930538.200001</v>
      </c>
      <c r="E28" s="268">
        <v>11050000000</v>
      </c>
      <c r="F28" s="108">
        <f t="shared" si="0"/>
        <v>2.0590887364886878</v>
      </c>
      <c r="H28" s="13"/>
    </row>
    <row r="29" spans="1:10" ht="17.5">
      <c r="A29" s="106" t="str">
        <f>+'S&amp;D'!A29</f>
        <v>Duke Energy</v>
      </c>
      <c r="B29" s="91" t="str">
        <f>+'S&amp;D'!B29</f>
        <v>DUK</v>
      </c>
      <c r="C29" s="92" t="str">
        <f>+'S&amp;D'!C29</f>
        <v>Electric Utility - East</v>
      </c>
      <c r="D29" s="266">
        <f>+'S&amp;D'!D54</f>
        <v>74817840000</v>
      </c>
      <c r="E29" s="268">
        <v>49112000000</v>
      </c>
      <c r="F29" s="108">
        <f t="shared" si="0"/>
        <v>1.5234126079165988</v>
      </c>
      <c r="H29" s="13"/>
    </row>
    <row r="30" spans="1:10" ht="17.5">
      <c r="A30" s="106" t="str">
        <f>+'S&amp;D'!A30</f>
        <v>Entergy Corp</v>
      </c>
      <c r="B30" s="91" t="str">
        <f>+'S&amp;D'!B30</f>
        <v>ETR</v>
      </c>
      <c r="C30" s="92" t="str">
        <f>+'S&amp;D'!C30</f>
        <v>Electric Utility - Cent</v>
      </c>
      <c r="D30" s="266">
        <f>+'S&amp;D'!D55</f>
        <v>21538146798.299999</v>
      </c>
      <c r="E30" s="268">
        <v>14622647000</v>
      </c>
      <c r="F30" s="108">
        <f t="shared" si="0"/>
        <v>1.4729307763703794</v>
      </c>
      <c r="H30" s="13"/>
    </row>
    <row r="31" spans="1:10" ht="17.5">
      <c r="A31" s="106" t="str">
        <f>+'S&amp;D'!A31</f>
        <v>Evergy Inc</v>
      </c>
      <c r="B31" s="91" t="str">
        <f>+'S&amp;D'!B31</f>
        <v>EVRG</v>
      </c>
      <c r="C31" s="92" t="str">
        <f>+'S&amp;D'!C31</f>
        <v>Electric Utility - Cent</v>
      </c>
      <c r="D31" s="266">
        <f>+'S&amp;D'!D56</f>
        <v>11991869251.200001</v>
      </c>
      <c r="E31" s="268">
        <v>9663100000</v>
      </c>
      <c r="F31" s="108">
        <f t="shared" si="0"/>
        <v>1.2409960831617184</v>
      </c>
      <c r="H31" s="13"/>
    </row>
    <row r="32" spans="1:10" ht="17.5">
      <c r="A32" s="106" t="str">
        <f>+'S&amp;D'!A32</f>
        <v>FirstEnergy Corp</v>
      </c>
      <c r="B32" s="91" t="str">
        <f>+'S&amp;D'!B32</f>
        <v>FE</v>
      </c>
      <c r="C32" s="92" t="str">
        <f>+'S&amp;D'!C32</f>
        <v>Electric Utility - East</v>
      </c>
      <c r="D32" s="266">
        <f>+'S&amp;D'!D57</f>
        <v>21055135617.359997</v>
      </c>
      <c r="E32" s="268">
        <v>10437000000</v>
      </c>
      <c r="F32" s="108">
        <f t="shared" si="0"/>
        <v>2.0173551420293183</v>
      </c>
      <c r="H32" s="13"/>
    </row>
    <row r="33" spans="1:8" ht="17.5">
      <c r="A33" s="106" t="str">
        <f>+'S&amp;D'!A33</f>
        <v>OGE Energy Corp.</v>
      </c>
      <c r="B33" s="91" t="str">
        <f>+'S&amp;D'!B33</f>
        <v>OGE</v>
      </c>
      <c r="C33" s="92" t="str">
        <f>+'S&amp;D'!C33</f>
        <v>Electric Utility - Cent</v>
      </c>
      <c r="D33" s="266">
        <f>+'S&amp;D'!D58</f>
        <v>6996479000</v>
      </c>
      <c r="E33" s="268">
        <v>4511600000</v>
      </c>
      <c r="F33" s="108">
        <f t="shared" si="0"/>
        <v>1.5507755563436474</v>
      </c>
      <c r="H33" s="13"/>
    </row>
    <row r="34" spans="1:8" ht="17.5">
      <c r="A34" s="106" t="str">
        <f>+'S&amp;D'!A34</f>
        <v>Otter Tail Corp</v>
      </c>
      <c r="B34" s="91" t="str">
        <f>+'S&amp;D'!B34</f>
        <v>OTTR</v>
      </c>
      <c r="C34" s="92" t="str">
        <f>+'S&amp;D'!C34</f>
        <v>Electric Utility - Cent</v>
      </c>
      <c r="D34" s="266">
        <f>+'S&amp;D'!D59</f>
        <v>3544142969.3699999</v>
      </c>
      <c r="E34" s="268">
        <v>1443006000</v>
      </c>
      <c r="F34" s="108">
        <f t="shared" si="0"/>
        <v>2.4560833214622808</v>
      </c>
      <c r="H34" s="13"/>
    </row>
    <row r="35" spans="1:8" ht="17.5">
      <c r="A35" s="106" t="str">
        <f>+'S&amp;D'!A35</f>
        <v>PPL Corporation</v>
      </c>
      <c r="B35" s="91" t="str">
        <f>+'S&amp;D'!B35</f>
        <v>PPL</v>
      </c>
      <c r="C35" s="92" t="str">
        <f>+'S&amp;D'!C35</f>
        <v>Electric Utility - East</v>
      </c>
      <c r="D35" s="266">
        <f>+'S&amp;D'!D60</f>
        <v>19976223000</v>
      </c>
      <c r="E35" s="268">
        <v>13933000000</v>
      </c>
      <c r="F35" s="108">
        <f t="shared" si="0"/>
        <v>1.4337345151797889</v>
      </c>
      <c r="H35" s="13"/>
    </row>
    <row r="36" spans="1:8" ht="17.5">
      <c r="A36" s="106" t="str">
        <f>+'S&amp;D'!A36</f>
        <v>The Southern Company</v>
      </c>
      <c r="B36" s="91" t="str">
        <f>+'S&amp;D'!B36</f>
        <v>SO</v>
      </c>
      <c r="C36" s="92" t="str">
        <f>+'S&amp;D'!C36</f>
        <v>Electric Utility - East</v>
      </c>
      <c r="D36" s="266">
        <f>+'S&amp;D'!D61</f>
        <v>77061880000</v>
      </c>
      <c r="E36" s="268">
        <v>31444000000</v>
      </c>
      <c r="F36" s="108">
        <f t="shared" si="0"/>
        <v>2.4507658058771149</v>
      </c>
      <c r="H36" s="13"/>
    </row>
    <row r="37" spans="1:8" ht="18" thickBot="1">
      <c r="A37" s="110" t="str">
        <f>+'S&amp;D'!A37</f>
        <v>WEC Energy Group</v>
      </c>
      <c r="B37" s="98" t="str">
        <f>+'S&amp;D'!B37</f>
        <v>WEC</v>
      </c>
      <c r="C37" s="99" t="str">
        <f>+'S&amp;D'!C37</f>
        <v>Electric Utility - Cent</v>
      </c>
      <c r="D37" s="267">
        <f>+'S&amp;D'!D62</f>
        <v>26550124474.27</v>
      </c>
      <c r="E37" s="319">
        <v>11724200000</v>
      </c>
      <c r="F37" s="111">
        <f t="shared" si="0"/>
        <v>2.2645574516188738</v>
      </c>
      <c r="H37" s="13"/>
    </row>
    <row r="38" spans="1:8" ht="27" customHeight="1" thickBot="1">
      <c r="A38" s="113"/>
      <c r="B38" s="113"/>
      <c r="C38" s="113"/>
      <c r="D38" s="113"/>
      <c r="E38" s="281" t="s">
        <v>346</v>
      </c>
      <c r="F38" s="282">
        <f>AVERAGE(F22:F37)</f>
        <v>1.8226441118985366</v>
      </c>
      <c r="H38" s="13"/>
    </row>
    <row r="39" spans="1:8" ht="17.5">
      <c r="A39" s="113"/>
      <c r="B39" s="113"/>
      <c r="C39" s="113"/>
      <c r="D39" s="113"/>
      <c r="E39" s="261"/>
      <c r="F39" s="262"/>
      <c r="H39" s="13"/>
    </row>
    <row r="40" spans="1:8" ht="17.5">
      <c r="A40" s="113"/>
      <c r="B40" s="113"/>
      <c r="C40" s="113"/>
      <c r="D40" s="113"/>
      <c r="E40" s="261"/>
      <c r="F40" s="262"/>
      <c r="H40" s="13"/>
    </row>
    <row r="41" spans="1:8" ht="17.5">
      <c r="A41" s="113"/>
      <c r="B41" s="113"/>
      <c r="C41" s="113"/>
      <c r="D41" s="113"/>
      <c r="E41" s="261"/>
      <c r="F41" s="262"/>
      <c r="H41" s="13"/>
    </row>
    <row r="42" spans="1:8" ht="18" thickBot="1">
      <c r="A42" s="113"/>
      <c r="B42" s="113"/>
      <c r="C42" s="113"/>
      <c r="D42" s="113"/>
      <c r="E42" s="113"/>
      <c r="F42" s="113"/>
      <c r="H42" s="13"/>
    </row>
    <row r="43" spans="1:8" ht="17.5">
      <c r="A43" s="263"/>
      <c r="B43" s="264"/>
      <c r="C43" s="265"/>
      <c r="D43" s="249" t="s">
        <v>0</v>
      </c>
      <c r="E43" s="250" t="s">
        <v>0</v>
      </c>
      <c r="F43" s="249" t="s">
        <v>0</v>
      </c>
      <c r="H43" s="13"/>
    </row>
    <row r="44" spans="1:8" ht="17.5">
      <c r="A44" s="91" t="s">
        <v>0</v>
      </c>
      <c r="B44" s="92" t="s">
        <v>3</v>
      </c>
      <c r="C44" s="93" t="s">
        <v>5</v>
      </c>
      <c r="D44" s="94" t="s">
        <v>337</v>
      </c>
      <c r="E44" s="251" t="s">
        <v>95</v>
      </c>
      <c r="F44" s="94" t="s">
        <v>339</v>
      </c>
      <c r="H44" s="13"/>
    </row>
    <row r="45" spans="1:8" ht="17.5">
      <c r="A45" s="91"/>
      <c r="B45" s="92" t="s">
        <v>4</v>
      </c>
      <c r="C45" s="93" t="s">
        <v>6</v>
      </c>
      <c r="D45" s="94" t="s">
        <v>340</v>
      </c>
      <c r="E45" s="251" t="s">
        <v>340</v>
      </c>
      <c r="F45" s="94" t="s">
        <v>164</v>
      </c>
    </row>
    <row r="46" spans="1:8" ht="18" thickBot="1">
      <c r="A46" s="98" t="s">
        <v>2</v>
      </c>
      <c r="B46" s="99" t="s">
        <v>0</v>
      </c>
      <c r="C46" s="100" t="s">
        <v>0</v>
      </c>
      <c r="D46" s="99" t="s">
        <v>0</v>
      </c>
      <c r="E46" s="119" t="s">
        <v>0</v>
      </c>
      <c r="F46" s="99" t="s">
        <v>0</v>
      </c>
    </row>
    <row r="47" spans="1:8" ht="16">
      <c r="A47" s="103" t="s">
        <v>7</v>
      </c>
      <c r="B47" s="104" t="s">
        <v>7</v>
      </c>
      <c r="C47" s="44" t="s">
        <v>7</v>
      </c>
      <c r="D47" s="285" t="s">
        <v>338</v>
      </c>
      <c r="E47" s="120" t="s">
        <v>338</v>
      </c>
      <c r="F47" s="104"/>
    </row>
    <row r="48" spans="1:8" ht="17.5">
      <c r="A48" s="91"/>
      <c r="B48" s="92"/>
      <c r="C48" s="93"/>
      <c r="D48" s="92"/>
      <c r="E48" s="252"/>
      <c r="F48" s="92"/>
    </row>
    <row r="49" spans="1:6" ht="17.5">
      <c r="A49" s="106" t="str">
        <f>+'S&amp;D'!A22</f>
        <v>ALLETE Inc</v>
      </c>
      <c r="B49" s="91" t="str">
        <f>+'S&amp;D'!B22</f>
        <v>ALE</v>
      </c>
      <c r="C49" s="91" t="str">
        <f>+'S&amp;D'!C22</f>
        <v>Electric Utility - Cent</v>
      </c>
      <c r="D49" s="266">
        <f>+'S&amp;D'!G47</f>
        <v>1663079793.2644215</v>
      </c>
      <c r="E49" s="268">
        <f>+'S&amp;D'!J22</f>
        <v>1791300000.0000002</v>
      </c>
      <c r="F49" s="108">
        <f>+D49/E49</f>
        <v>0.92842058463932409</v>
      </c>
    </row>
    <row r="50" spans="1:6" ht="17.5">
      <c r="A50" s="106" t="str">
        <f>+'S&amp;D'!A23</f>
        <v>Alliant Energy</v>
      </c>
      <c r="B50" s="91" t="str">
        <f>+'S&amp;D'!B23</f>
        <v>LNT</v>
      </c>
      <c r="C50" s="91" t="str">
        <f>+'S&amp;D'!C23</f>
        <v>Electric Utility - Cent</v>
      </c>
      <c r="D50" s="266">
        <f>+'S&amp;D'!G48</f>
        <v>8076000000</v>
      </c>
      <c r="E50" s="268">
        <f>+'S&amp;D'!J23</f>
        <v>9034000000</v>
      </c>
      <c r="F50" s="108">
        <f t="shared" ref="F50:F64" si="1">+D50/E50</f>
        <v>0.89395616559663493</v>
      </c>
    </row>
    <row r="51" spans="1:6" ht="17.5">
      <c r="A51" s="106" t="str">
        <f>+'S&amp;D'!A24</f>
        <v>AMEREN Corporation</v>
      </c>
      <c r="B51" s="91" t="str">
        <f>+'S&amp;D'!B24</f>
        <v>AEE</v>
      </c>
      <c r="C51" s="91" t="str">
        <f>+'S&amp;D'!C24</f>
        <v>Electric Utility - Cent</v>
      </c>
      <c r="D51" s="266">
        <f>+'S&amp;D'!G49</f>
        <v>14833000000</v>
      </c>
      <c r="E51" s="268">
        <f>+'S&amp;D'!J24</f>
        <v>15970000000</v>
      </c>
      <c r="F51" s="108">
        <f t="shared" si="1"/>
        <v>0.92880400751408887</v>
      </c>
    </row>
    <row r="52" spans="1:6" ht="17.5">
      <c r="A52" s="106" t="str">
        <f>+'S&amp;D'!A25</f>
        <v>American Electric Power</v>
      </c>
      <c r="B52" s="91" t="str">
        <f>+'S&amp;D'!B25</f>
        <v>AEP</v>
      </c>
      <c r="C52" s="91" t="str">
        <f>+'S&amp;D'!C25</f>
        <v>Electric Utility - Cent</v>
      </c>
      <c r="D52" s="266">
        <f>+'S&amp;D'!G50</f>
        <v>37325700000</v>
      </c>
      <c r="E52" s="268">
        <f>+'S&amp;D'!J25</f>
        <v>40143200000</v>
      </c>
      <c r="F52" s="108">
        <f t="shared" si="1"/>
        <v>0.9298137667151597</v>
      </c>
    </row>
    <row r="53" spans="1:6" ht="17.5">
      <c r="A53" s="106" t="str">
        <f>+'S&amp;D'!A26</f>
        <v>Centerpoint Energy</v>
      </c>
      <c r="B53" s="91" t="str">
        <f>+'S&amp;D'!B26</f>
        <v>CNP</v>
      </c>
      <c r="C53" s="91" t="str">
        <f>+'S&amp;D'!C26</f>
        <v>Electric Utility - Cent</v>
      </c>
      <c r="D53" s="266">
        <f>+'S&amp;D'!G51</f>
        <v>17804000000</v>
      </c>
      <c r="E53" s="268">
        <f>+'S&amp;D'!J26</f>
        <v>18609000000</v>
      </c>
      <c r="F53" s="108">
        <f t="shared" si="1"/>
        <v>0.9567413617067011</v>
      </c>
    </row>
    <row r="54" spans="1:6" ht="17.5">
      <c r="A54" s="106" t="str">
        <f>+'S&amp;D'!A27</f>
        <v>CMS Energy</v>
      </c>
      <c r="B54" s="91" t="str">
        <f>+'S&amp;D'!B27</f>
        <v>CMS</v>
      </c>
      <c r="C54" s="91" t="str">
        <f>+'S&amp;D'!C27</f>
        <v>Electric Utility - Cent</v>
      </c>
      <c r="D54" s="266">
        <f>+'S&amp;D'!G52</f>
        <v>14366902409.093845</v>
      </c>
      <c r="E54" s="268">
        <f>+'S&amp;D'!J27</f>
        <v>15550000000</v>
      </c>
      <c r="F54" s="108">
        <f t="shared" si="1"/>
        <v>0.92391655363947556</v>
      </c>
    </row>
    <row r="55" spans="1:6" ht="17.5">
      <c r="A55" s="106" t="str">
        <f>+'S&amp;D'!A28</f>
        <v>DTE Energy</v>
      </c>
      <c r="B55" s="91" t="str">
        <f>+'S&amp;D'!B28</f>
        <v>DTE</v>
      </c>
      <c r="C55" s="91" t="str">
        <f>+'S&amp;D'!C28</f>
        <v>Electric Utility - Cent</v>
      </c>
      <c r="D55" s="266">
        <f>+'S&amp;D'!G53</f>
        <v>19701113782.871174</v>
      </c>
      <c r="E55" s="268">
        <f>+'S&amp;D'!J28</f>
        <v>19562000000</v>
      </c>
      <c r="F55" s="108">
        <f t="shared" si="1"/>
        <v>1.0071114294484804</v>
      </c>
    </row>
    <row r="56" spans="1:6" ht="17.5">
      <c r="A56" s="106" t="str">
        <f>+'S&amp;D'!A29</f>
        <v>Duke Energy</v>
      </c>
      <c r="B56" s="91" t="str">
        <f>+'S&amp;D'!B29</f>
        <v>DUK</v>
      </c>
      <c r="C56" s="91" t="str">
        <f>+'S&amp;D'!C29</f>
        <v>Electric Utility - East</v>
      </c>
      <c r="D56" s="266">
        <f>+'S&amp;D'!G54</f>
        <v>69790000000</v>
      </c>
      <c r="E56" s="268">
        <f>+'S&amp;D'!J29</f>
        <v>75252000000</v>
      </c>
      <c r="F56" s="108">
        <f t="shared" si="1"/>
        <v>0.9274172115026843</v>
      </c>
    </row>
    <row r="57" spans="1:6" ht="17.5">
      <c r="A57" s="106" t="str">
        <f>+'S&amp;D'!A30</f>
        <v>Entergy Corp</v>
      </c>
      <c r="B57" s="91" t="str">
        <f>+'S&amp;D'!B30</f>
        <v>ETR</v>
      </c>
      <c r="C57" s="91" t="str">
        <f>+'S&amp;D'!C30</f>
        <v>Electric Utility - Cent</v>
      </c>
      <c r="D57" s="266">
        <f>+'S&amp;D'!G55</f>
        <v>24540822851.509544</v>
      </c>
      <c r="E57" s="268">
        <f>+'S&amp;D'!J30</f>
        <v>25107896000</v>
      </c>
      <c r="F57" s="108">
        <f t="shared" si="1"/>
        <v>0.97741454925213744</v>
      </c>
    </row>
    <row r="58" spans="1:6" ht="17.5">
      <c r="A58" s="106" t="str">
        <f>+'S&amp;D'!A31</f>
        <v>Evergy Inc</v>
      </c>
      <c r="B58" s="91" t="str">
        <f>+'S&amp;D'!B31</f>
        <v>EVRG</v>
      </c>
      <c r="C58" s="91" t="str">
        <f>+'S&amp;D'!C31</f>
        <v>Electric Utility - Cent</v>
      </c>
      <c r="D58" s="266">
        <f>+'S&amp;D'!G56</f>
        <v>11044900000</v>
      </c>
      <c r="E58" s="268">
        <f>+'S&amp;D'!J31</f>
        <v>11853300000</v>
      </c>
      <c r="F58" s="108">
        <f t="shared" si="1"/>
        <v>0.93179958323842305</v>
      </c>
    </row>
    <row r="59" spans="1:6" ht="17.5">
      <c r="A59" s="106" t="str">
        <f>+'S&amp;D'!A32</f>
        <v>FirstEnergy Corp</v>
      </c>
      <c r="B59" s="91" t="str">
        <f>+'S&amp;D'!B32</f>
        <v>FE</v>
      </c>
      <c r="C59" s="91" t="str">
        <f>+'S&amp;D'!C32</f>
        <v>Electric Utility - East</v>
      </c>
      <c r="D59" s="266">
        <f>+'S&amp;D'!G57</f>
        <v>22890137915.395397</v>
      </c>
      <c r="E59" s="268">
        <f>+'S&amp;D'!J32</f>
        <v>24135000000</v>
      </c>
      <c r="F59" s="108">
        <f t="shared" si="1"/>
        <v>0.94842087903026295</v>
      </c>
    </row>
    <row r="60" spans="1:6" ht="17.5">
      <c r="A60" s="106" t="str">
        <f>+'S&amp;D'!A33</f>
        <v>OGE Energy Corp.</v>
      </c>
      <c r="B60" s="91" t="str">
        <f>+'S&amp;D'!B33</f>
        <v>OGE</v>
      </c>
      <c r="C60" s="91" t="str">
        <f>+'S&amp;D'!C33</f>
        <v>Electric Utility - Cent</v>
      </c>
      <c r="D60" s="266">
        <f>+'S&amp;D'!G58</f>
        <v>4114800000</v>
      </c>
      <c r="E60" s="268">
        <f>+'S&amp;D'!J33</f>
        <v>4340500000</v>
      </c>
      <c r="F60" s="108">
        <f t="shared" si="1"/>
        <v>0.94800138232922471</v>
      </c>
    </row>
    <row r="61" spans="1:6" ht="17.5">
      <c r="A61" s="106" t="str">
        <f>+'S&amp;D'!A34</f>
        <v>Otter Tail Corp</v>
      </c>
      <c r="B61" s="91" t="str">
        <f>+'S&amp;D'!B34</f>
        <v>OTTR</v>
      </c>
      <c r="C61" s="91" t="str">
        <f>+'S&amp;D'!C34</f>
        <v>Electric Utility - Cent</v>
      </c>
      <c r="D61" s="266">
        <f>+'S&amp;D'!G59</f>
        <v>792261000</v>
      </c>
      <c r="E61" s="268">
        <f>+'S&amp;D'!J34</f>
        <v>905481000</v>
      </c>
      <c r="F61" s="108">
        <f t="shared" si="1"/>
        <v>0.87496148455903544</v>
      </c>
    </row>
    <row r="62" spans="1:6" ht="17.5">
      <c r="A62" s="106" t="str">
        <f>+'S&amp;D'!A35</f>
        <v>PPL Corporation</v>
      </c>
      <c r="B62" s="91" t="str">
        <f>+'S&amp;D'!B35</f>
        <v>PPL</v>
      </c>
      <c r="C62" s="91" t="str">
        <f>+'S&amp;D'!C35</f>
        <v>Electric Utility - East</v>
      </c>
      <c r="D62" s="266">
        <f>+'S&amp;D'!G60</f>
        <v>14031000000</v>
      </c>
      <c r="E62" s="268">
        <f>+'S&amp;D'!J35</f>
        <v>14612000000</v>
      </c>
      <c r="F62" s="108">
        <f t="shared" si="1"/>
        <v>0.96023816041609633</v>
      </c>
    </row>
    <row r="63" spans="1:6" ht="17.5">
      <c r="A63" s="106" t="str">
        <f>+'S&amp;D'!A36</f>
        <v>The Southern Company</v>
      </c>
      <c r="B63" s="91" t="str">
        <f>+'S&amp;D'!B36</f>
        <v>SO</v>
      </c>
      <c r="C63" s="91" t="str">
        <f>+'S&amp;D'!C36</f>
        <v>Electric Utility - East</v>
      </c>
      <c r="D63" s="266">
        <f>+'S&amp;D'!G61</f>
        <v>55264814814.814812</v>
      </c>
      <c r="E63" s="268">
        <f>+'S&amp;D'!J36</f>
        <v>59686000000</v>
      </c>
      <c r="F63" s="108">
        <f t="shared" si="1"/>
        <v>0.92592592592592582</v>
      </c>
    </row>
    <row r="64" spans="1:6" ht="18" thickBot="1">
      <c r="A64" s="110" t="str">
        <f>+'S&amp;D'!A37</f>
        <v>WEC Energy Group</v>
      </c>
      <c r="B64" s="98" t="str">
        <f>+'S&amp;D'!B37</f>
        <v>WEC</v>
      </c>
      <c r="C64" s="98" t="str">
        <f>+'S&amp;D'!C37</f>
        <v>Electric Utility - Cent</v>
      </c>
      <c r="D64" s="267">
        <f>+'S&amp;D'!G62</f>
        <v>15710200000</v>
      </c>
      <c r="E64" s="268">
        <f>+'S&amp;D'!J37</f>
        <v>16631100000</v>
      </c>
      <c r="F64" s="111">
        <f t="shared" si="1"/>
        <v>0.94462783580160059</v>
      </c>
    </row>
    <row r="65" spans="1:6" ht="27.75" customHeight="1" thickBot="1">
      <c r="E65" s="281" t="s">
        <v>346</v>
      </c>
      <c r="F65" s="282">
        <f>AVERAGE(F49:F64)</f>
        <v>0.93797318008220332</v>
      </c>
    </row>
    <row r="70" spans="1:6">
      <c r="C70" s="253" t="s">
        <v>341</v>
      </c>
      <c r="D70" s="253" t="s">
        <v>342</v>
      </c>
      <c r="E70" s="253"/>
    </row>
    <row r="71" spans="1:6">
      <c r="A71" s="255"/>
      <c r="B71" s="255"/>
      <c r="C71" s="254" t="s">
        <v>36</v>
      </c>
      <c r="D71" s="254" t="s">
        <v>343</v>
      </c>
      <c r="E71" s="254" t="s">
        <v>344</v>
      </c>
    </row>
    <row r="72" spans="1:6" ht="17.5">
      <c r="A72" s="93" t="s">
        <v>40</v>
      </c>
      <c r="B72" s="141" t="s">
        <v>0</v>
      </c>
      <c r="C72" s="141">
        <f>+'Yield CapRate'!C23</f>
        <v>0.56999999999999995</v>
      </c>
      <c r="D72" s="259">
        <f>+F38</f>
        <v>1.8226441118985366</v>
      </c>
      <c r="E72" s="260">
        <f>+C72*D72</f>
        <v>1.0389071437821658</v>
      </c>
      <c r="F72" s="142" t="s">
        <v>0</v>
      </c>
    </row>
    <row r="73" spans="1:6" ht="17.5">
      <c r="A73" s="256" t="s">
        <v>42</v>
      </c>
      <c r="B73" s="257" t="str">
        <f>'S&amp;D'!I44</f>
        <v xml:space="preserve"> </v>
      </c>
      <c r="C73" s="257">
        <f>+'Yield CapRate'!C25</f>
        <v>0.43</v>
      </c>
      <c r="D73" s="258">
        <f>+F65</f>
        <v>0.93797318008220332</v>
      </c>
      <c r="E73" s="258">
        <f>+C73*D73</f>
        <v>0.40332846743534739</v>
      </c>
      <c r="F73" s="142" t="s">
        <v>0</v>
      </c>
    </row>
    <row r="74" spans="1:6" ht="17.5">
      <c r="D74" s="121" t="s">
        <v>345</v>
      </c>
      <c r="E74" s="283">
        <f>+E72+E73</f>
        <v>1.4422356112175132</v>
      </c>
    </row>
    <row r="77" spans="1:6" ht="21">
      <c r="A77" s="32" t="s">
        <v>442</v>
      </c>
    </row>
    <row r="78" spans="1:6" ht="21">
      <c r="A78" s="32" t="s">
        <v>419</v>
      </c>
    </row>
  </sheetData>
  <pageMargins left="0.25" right="0.25" top="0.75" bottom="0.75" header="0.3" footer="0.3"/>
  <pageSetup scale="35" orientation="landscape" r:id="rId1"/>
  <rowBreaks count="1" manualBreakCount="1">
    <brk id="42"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85"/>
  <sheetViews>
    <sheetView view="pageBreakPreview" topLeftCell="A17" zoomScale="70" zoomScaleNormal="80" zoomScaleSheetLayoutView="70" workbookViewId="0">
      <selection activeCell="F42" sqref="F42"/>
    </sheetView>
  </sheetViews>
  <sheetFormatPr defaultRowHeight="14.5"/>
  <cols>
    <col min="1" max="1" width="45.1796875" customWidth="1"/>
    <col min="2" max="2" width="15.7265625" customWidth="1"/>
    <col min="3" max="3" width="10.7265625" customWidth="1"/>
    <col min="4" max="4" width="21.7265625" customWidth="1"/>
    <col min="5" max="5" width="22.26953125" customWidth="1"/>
    <col min="6" max="6" width="26.54296875" customWidth="1"/>
    <col min="7" max="7" width="26.453125" customWidth="1"/>
    <col min="8" max="8" width="23.81640625" customWidth="1"/>
    <col min="9" max="9" width="15" customWidth="1"/>
    <col min="10" max="10" width="14.1796875" bestFit="1" customWidth="1"/>
    <col min="11" max="11" width="16.7265625" customWidth="1"/>
    <col min="12" max="12" width="23.1796875" customWidth="1"/>
  </cols>
  <sheetData>
    <row r="1" spans="1:12" ht="25.5">
      <c r="A1" s="25" t="s">
        <v>1</v>
      </c>
      <c r="B1" s="13"/>
      <c r="C1" s="13"/>
      <c r="D1" s="13"/>
      <c r="E1" s="13"/>
      <c r="F1" s="13"/>
      <c r="G1" s="13"/>
      <c r="H1" s="13"/>
      <c r="I1" s="13"/>
      <c r="J1" s="13"/>
      <c r="K1" s="13"/>
      <c r="L1" s="13"/>
    </row>
    <row r="2" spans="1:12" ht="17.5">
      <c r="A2" s="26" t="s">
        <v>9</v>
      </c>
      <c r="B2" s="13"/>
      <c r="C2" s="13"/>
      <c r="D2" s="13"/>
      <c r="E2" s="13"/>
      <c r="F2" s="13"/>
      <c r="G2" s="13"/>
      <c r="H2" s="13"/>
      <c r="I2" s="13"/>
      <c r="J2" s="13"/>
      <c r="K2" s="13"/>
      <c r="L2" s="13"/>
    </row>
    <row r="3" spans="1:12" ht="17">
      <c r="A3" s="27" t="s">
        <v>483</v>
      </c>
      <c r="B3" s="13"/>
      <c r="C3" s="13"/>
      <c r="D3" s="13"/>
      <c r="E3" s="13"/>
      <c r="F3" s="13"/>
      <c r="G3" s="13"/>
      <c r="H3" s="13"/>
      <c r="I3" s="13"/>
      <c r="J3" s="13"/>
      <c r="K3" s="13"/>
      <c r="L3" s="13"/>
    </row>
    <row r="4" spans="1:12" ht="17">
      <c r="A4" s="27"/>
      <c r="B4" s="13"/>
      <c r="C4" s="13"/>
      <c r="D4" s="13"/>
      <c r="E4" s="13"/>
      <c r="F4" s="13"/>
      <c r="G4" s="13"/>
      <c r="H4" s="13"/>
      <c r="I4" s="13"/>
      <c r="J4" s="13"/>
      <c r="K4" s="13"/>
      <c r="L4" s="13"/>
    </row>
    <row r="5" spans="1:12" ht="17">
      <c r="A5" s="27"/>
      <c r="B5" s="13"/>
      <c r="C5" s="13"/>
      <c r="D5" s="13"/>
      <c r="E5" s="13"/>
      <c r="F5" s="13"/>
      <c r="G5" s="13"/>
      <c r="H5" s="13"/>
      <c r="I5" s="13"/>
      <c r="J5" s="13"/>
      <c r="K5" s="13"/>
      <c r="L5" s="13"/>
    </row>
    <row r="6" spans="1:12" ht="17">
      <c r="A6" s="27"/>
      <c r="B6" s="13"/>
      <c r="C6" s="13"/>
      <c r="D6" s="13"/>
      <c r="E6" s="13"/>
      <c r="F6" s="13"/>
      <c r="G6" s="13"/>
      <c r="H6" s="13"/>
      <c r="I6" s="13"/>
      <c r="J6" s="13"/>
      <c r="K6" s="13"/>
      <c r="L6" s="13"/>
    </row>
    <row r="7" spans="1:12" ht="17.5" thickBot="1">
      <c r="A7" s="13"/>
      <c r="B7" s="13"/>
      <c r="C7" s="13"/>
      <c r="D7" s="13"/>
      <c r="E7" s="13"/>
      <c r="F7" s="30"/>
      <c r="G7" s="30"/>
      <c r="H7" s="31" t="s">
        <v>0</v>
      </c>
      <c r="I7" s="13"/>
      <c r="J7" s="13"/>
      <c r="K7" s="13"/>
      <c r="L7" s="13"/>
    </row>
    <row r="8" spans="1:12" ht="26" thickBot="1">
      <c r="A8" s="275" t="str">
        <f>+'S&amp;D'!A12</f>
        <v>Electric Utilities</v>
      </c>
      <c r="B8" s="276"/>
      <c r="C8" s="203"/>
      <c r="D8" s="13"/>
      <c r="E8" s="13"/>
      <c r="F8" s="13"/>
      <c r="G8" s="33" t="s">
        <v>110</v>
      </c>
      <c r="H8" s="13"/>
      <c r="I8" s="13"/>
      <c r="J8" s="13"/>
      <c r="K8" s="13"/>
      <c r="L8" s="13"/>
    </row>
    <row r="9" spans="1:12" ht="21">
      <c r="A9" s="32"/>
      <c r="B9" s="13"/>
      <c r="C9" s="13"/>
      <c r="D9" s="13"/>
      <c r="E9" s="13"/>
      <c r="F9" s="13"/>
      <c r="G9" s="93" t="s">
        <v>111</v>
      </c>
      <c r="H9" s="13"/>
      <c r="I9" s="13"/>
      <c r="J9" s="13"/>
      <c r="K9" s="13"/>
      <c r="L9" s="13"/>
    </row>
    <row r="10" spans="1:12" ht="18" customHeight="1" thickBot="1">
      <c r="A10" s="42" t="s">
        <v>0</v>
      </c>
      <c r="B10" s="42" t="s">
        <v>0</v>
      </c>
      <c r="C10" s="42" t="s">
        <v>0</v>
      </c>
      <c r="D10" s="13"/>
      <c r="E10" s="13"/>
      <c r="F10" s="35" t="s">
        <v>0</v>
      </c>
      <c r="G10" s="34" t="s">
        <v>484</v>
      </c>
      <c r="H10" s="35" t="s">
        <v>0</v>
      </c>
      <c r="I10" s="42" t="s">
        <v>0</v>
      </c>
      <c r="J10" s="13"/>
      <c r="K10" s="13"/>
      <c r="L10" s="13"/>
    </row>
    <row r="11" spans="1:12" ht="18" customHeight="1">
      <c r="A11" s="42"/>
      <c r="B11" s="42"/>
      <c r="C11" s="42"/>
      <c r="D11" s="13"/>
      <c r="E11" s="13"/>
      <c r="J11" s="13"/>
      <c r="K11" s="13"/>
      <c r="L11" s="13"/>
    </row>
    <row r="12" spans="1:12" ht="18" customHeight="1">
      <c r="A12" s="42"/>
      <c r="B12" s="42"/>
      <c r="C12" s="42"/>
      <c r="D12" s="13"/>
      <c r="E12" s="13"/>
      <c r="G12" s="14" t="s">
        <v>0</v>
      </c>
      <c r="J12" s="13"/>
      <c r="K12" s="13"/>
      <c r="L12" s="13"/>
    </row>
    <row r="13" spans="1:12" ht="17.5" thickBot="1">
      <c r="A13" s="35"/>
      <c r="B13" s="35"/>
      <c r="C13" s="35"/>
      <c r="D13" s="35"/>
      <c r="E13" s="38"/>
      <c r="F13" s="35"/>
      <c r="G13" s="35"/>
      <c r="H13" s="35"/>
      <c r="I13" s="35"/>
      <c r="J13" s="30"/>
      <c r="K13" s="30"/>
      <c r="L13" s="30"/>
    </row>
    <row r="14" spans="1:12" ht="15" customHeight="1" thickBot="1">
      <c r="A14" s="35" t="s">
        <v>24</v>
      </c>
      <c r="B14" s="35" t="s">
        <v>123</v>
      </c>
      <c r="C14" s="35" t="s">
        <v>124</v>
      </c>
      <c r="D14" s="43" t="s">
        <v>125</v>
      </c>
      <c r="E14" s="35" t="s">
        <v>126</v>
      </c>
      <c r="F14" s="35" t="s">
        <v>127</v>
      </c>
      <c r="G14" s="35" t="s">
        <v>128</v>
      </c>
      <c r="H14" s="35" t="s">
        <v>129</v>
      </c>
      <c r="I14" s="35" t="s">
        <v>130</v>
      </c>
      <c r="J14" s="35" t="s">
        <v>131</v>
      </c>
      <c r="K14" s="35" t="s">
        <v>132</v>
      </c>
      <c r="L14" s="35" t="s">
        <v>140</v>
      </c>
    </row>
    <row r="15" spans="1:12" ht="17">
      <c r="A15" s="36" t="s">
        <v>0</v>
      </c>
      <c r="B15" s="36" t="s">
        <v>3</v>
      </c>
      <c r="C15" s="36" t="s">
        <v>112</v>
      </c>
      <c r="D15" s="36" t="s">
        <v>115</v>
      </c>
      <c r="E15" s="36" t="s">
        <v>115</v>
      </c>
      <c r="F15" s="36" t="s">
        <v>116</v>
      </c>
      <c r="G15" s="36" t="s">
        <v>119</v>
      </c>
      <c r="H15" s="36" t="s">
        <v>121</v>
      </c>
      <c r="I15" s="36" t="s">
        <v>143</v>
      </c>
      <c r="J15" s="36" t="s">
        <v>143</v>
      </c>
      <c r="K15" s="36" t="s">
        <v>136</v>
      </c>
      <c r="L15" s="36" t="s">
        <v>138</v>
      </c>
    </row>
    <row r="16" spans="1:12" ht="17.5" thickBot="1">
      <c r="A16" s="38" t="s">
        <v>2</v>
      </c>
      <c r="B16" s="38" t="s">
        <v>4</v>
      </c>
      <c r="C16" s="38" t="s">
        <v>113</v>
      </c>
      <c r="D16" s="38" t="s">
        <v>118</v>
      </c>
      <c r="E16" s="38" t="s">
        <v>117</v>
      </c>
      <c r="F16" s="38" t="s">
        <v>19</v>
      </c>
      <c r="G16" s="38" t="s">
        <v>120</v>
      </c>
      <c r="H16" s="38" t="s">
        <v>122</v>
      </c>
      <c r="I16" s="38" t="s">
        <v>0</v>
      </c>
      <c r="J16" s="38" t="s">
        <v>0</v>
      </c>
      <c r="K16" s="38" t="s">
        <v>137</v>
      </c>
      <c r="L16" s="38" t="s">
        <v>119</v>
      </c>
    </row>
    <row r="17" spans="1:12" ht="16">
      <c r="A17" s="44" t="s">
        <v>7</v>
      </c>
      <c r="B17" s="44" t="s">
        <v>7</v>
      </c>
      <c r="C17" s="44" t="s">
        <v>114</v>
      </c>
      <c r="D17" s="44" t="s">
        <v>282</v>
      </c>
      <c r="E17" s="44" t="s">
        <v>282</v>
      </c>
      <c r="F17" s="44" t="s">
        <v>141</v>
      </c>
      <c r="G17" s="44" t="s">
        <v>281</v>
      </c>
      <c r="H17" s="44" t="s">
        <v>133</v>
      </c>
      <c r="I17" s="44" t="s">
        <v>134</v>
      </c>
      <c r="J17" s="44" t="s">
        <v>135</v>
      </c>
      <c r="K17" s="44" t="s">
        <v>142</v>
      </c>
      <c r="L17" s="44" t="s">
        <v>139</v>
      </c>
    </row>
    <row r="18" spans="1:12" ht="17">
      <c r="A18" s="36"/>
      <c r="B18" s="36"/>
      <c r="C18" s="36"/>
      <c r="D18" s="36"/>
      <c r="E18" s="36"/>
      <c r="F18" s="36"/>
      <c r="G18" s="36"/>
      <c r="H18" s="36"/>
      <c r="I18" s="36"/>
      <c r="J18" s="36"/>
      <c r="K18" s="36"/>
      <c r="L18" s="36"/>
    </row>
    <row r="19" spans="1:12" ht="17">
      <c r="A19" s="13"/>
      <c r="B19" s="13"/>
      <c r="C19" s="13"/>
      <c r="D19" s="13" t="s">
        <v>0</v>
      </c>
      <c r="E19" s="13" t="s">
        <v>0</v>
      </c>
      <c r="F19" s="13" t="s">
        <v>0</v>
      </c>
      <c r="G19" s="13" t="s">
        <v>0</v>
      </c>
      <c r="H19" s="13"/>
      <c r="I19" s="13"/>
      <c r="J19" s="13"/>
      <c r="K19" s="13"/>
      <c r="L19" s="13"/>
    </row>
    <row r="20" spans="1:12" ht="22.5" customHeight="1">
      <c r="A20" s="65" t="str">
        <f>+'S&amp;D'!A22</f>
        <v>ALLETE Inc</v>
      </c>
      <c r="B20" s="93" t="str">
        <f>+'S&amp;D'!B22</f>
        <v>ALE</v>
      </c>
      <c r="C20" s="68">
        <f>+'Growth &amp; Inflation Rates'!$D$93</f>
        <v>2.2200000000000001E-2</v>
      </c>
      <c r="D20" s="318">
        <v>5167200000</v>
      </c>
      <c r="E20" s="137">
        <v>5198600000</v>
      </c>
      <c r="F20" s="137">
        <f>(D20+E20)/2</f>
        <v>5182900000</v>
      </c>
      <c r="G20" s="137">
        <v>251800000</v>
      </c>
      <c r="H20" s="19">
        <f>+F20/G20</f>
        <v>20.583399523431293</v>
      </c>
      <c r="I20" s="46">
        <f>+C20*H20</f>
        <v>0.45695146942017473</v>
      </c>
      <c r="J20" s="47">
        <f>1/(1+C20)^H20</f>
        <v>0.63638398488277526</v>
      </c>
      <c r="K20" s="341">
        <f>(G20*I20)/(1-J20)</f>
        <v>316433752.13521916</v>
      </c>
      <c r="L20" s="139">
        <f>+K20/G20</f>
        <v>1.2566868631263668</v>
      </c>
    </row>
    <row r="21" spans="1:12" ht="22.5" customHeight="1">
      <c r="A21" s="65" t="str">
        <f>+'S&amp;D'!A23</f>
        <v>Alliant Energy</v>
      </c>
      <c r="B21" s="93" t="str">
        <f>+'S&amp;D'!B23</f>
        <v>LNT</v>
      </c>
      <c r="C21" s="68">
        <f>+'Growth &amp; Inflation Rates'!$D$93</f>
        <v>2.2200000000000001E-2</v>
      </c>
      <c r="D21" s="318">
        <f>17157000000+5924000000</f>
        <v>23081000000</v>
      </c>
      <c r="E21" s="137">
        <f>16247000000+5690000000</f>
        <v>21937000000</v>
      </c>
      <c r="F21" s="137">
        <f t="shared" ref="F21:F35" si="0">(D21+E21)/2</f>
        <v>22509000000</v>
      </c>
      <c r="G21" s="137">
        <v>676000000</v>
      </c>
      <c r="H21" s="19">
        <f>+F21/G21</f>
        <v>33.297337278106511</v>
      </c>
      <c r="I21" s="46">
        <f t="shared" ref="I21:I35" si="1">+C21*H21</f>
        <v>0.73920088757396463</v>
      </c>
      <c r="J21" s="47">
        <f t="shared" ref="J21:J35" si="2">1/(1+C21)^H21</f>
        <v>0.48137186137509014</v>
      </c>
      <c r="K21" s="138">
        <f t="shared" ref="K21:K35" si="3">(G21*I21)/(1-J21)</f>
        <v>963503062.76266384</v>
      </c>
      <c r="L21" s="139">
        <f t="shared" ref="L21:L35" si="4">+K21/G21</f>
        <v>1.4253003887021654</v>
      </c>
    </row>
    <row r="22" spans="1:12" ht="22.5" customHeight="1">
      <c r="A22" s="65" t="str">
        <f>+'S&amp;D'!A24</f>
        <v>AMEREN Corporation</v>
      </c>
      <c r="B22" s="93" t="str">
        <f>+'S&amp;D'!B24</f>
        <v>AEE</v>
      </c>
      <c r="C22" s="68">
        <f>+'Growth &amp; Inflation Rates'!$D$93</f>
        <v>2.2200000000000001E-2</v>
      </c>
      <c r="D22" s="318">
        <f>33776000000+15426000000</f>
        <v>49202000000</v>
      </c>
      <c r="E22" s="137">
        <f>31262000000+14465000000</f>
        <v>45727000000</v>
      </c>
      <c r="F22" s="137">
        <f t="shared" si="0"/>
        <v>47464500000</v>
      </c>
      <c r="G22" s="137">
        <v>1387000000</v>
      </c>
      <c r="H22" s="19">
        <f>+F22/G22</f>
        <v>34.220980533525598</v>
      </c>
      <c r="I22" s="46">
        <f t="shared" si="1"/>
        <v>0.75970576784426835</v>
      </c>
      <c r="J22" s="47">
        <f t="shared" si="2"/>
        <v>0.47170768507745781</v>
      </c>
      <c r="K22" s="138">
        <f t="shared" si="3"/>
        <v>1994562234.2708025</v>
      </c>
      <c r="L22" s="139">
        <f t="shared" si="4"/>
        <v>1.4380405438145656</v>
      </c>
    </row>
    <row r="23" spans="1:12" ht="22.5" customHeight="1">
      <c r="A23" s="65" t="str">
        <f>+'S&amp;D'!A25</f>
        <v>American Electric Power</v>
      </c>
      <c r="B23" s="93" t="str">
        <f>+'S&amp;D'!B25</f>
        <v>AEP</v>
      </c>
      <c r="C23" s="68">
        <f>+'Growth &amp; Inflation Rates'!$D$93</f>
        <v>2.2200000000000001E-2</v>
      </c>
      <c r="D23" s="318">
        <v>101246400000</v>
      </c>
      <c r="E23" s="137">
        <v>97021400000</v>
      </c>
      <c r="F23" s="137">
        <f t="shared" si="0"/>
        <v>99133900000</v>
      </c>
      <c r="G23" s="137">
        <v>3090400000</v>
      </c>
      <c r="H23" s="19">
        <f t="shared" ref="H23:H35" si="5">+F23/G23</f>
        <v>32.07801579083614</v>
      </c>
      <c r="I23" s="46">
        <f t="shared" si="1"/>
        <v>0.71213195055656231</v>
      </c>
      <c r="J23" s="47">
        <f t="shared" si="2"/>
        <v>0.49443362617631587</v>
      </c>
      <c r="K23" s="138">
        <f t="shared" si="3"/>
        <v>4353083381.2288265</v>
      </c>
      <c r="L23" s="139">
        <f t="shared" si="4"/>
        <v>1.4085825075164466</v>
      </c>
    </row>
    <row r="24" spans="1:12" ht="22.5" customHeight="1">
      <c r="A24" s="65" t="str">
        <f>+'S&amp;D'!A26</f>
        <v>Centerpoint Energy</v>
      </c>
      <c r="B24" s="93" t="str">
        <f>+'S&amp;D'!B26</f>
        <v>CNP</v>
      </c>
      <c r="C24" s="68">
        <f>+'Growth &amp; Inflation Rates'!$D$93</f>
        <v>2.2200000000000001E-2</v>
      </c>
      <c r="D24" s="318">
        <v>40396000000</v>
      </c>
      <c r="E24" s="137">
        <v>37728000000</v>
      </c>
      <c r="F24" s="137">
        <f t="shared" si="0"/>
        <v>39062000000</v>
      </c>
      <c r="G24" s="137">
        <v>1401000000</v>
      </c>
      <c r="H24" s="19">
        <f t="shared" si="5"/>
        <v>27.881513204853675</v>
      </c>
      <c r="I24" s="46">
        <f t="shared" si="1"/>
        <v>0.61896959314775157</v>
      </c>
      <c r="J24" s="47">
        <f t="shared" si="2"/>
        <v>0.54215732536169436</v>
      </c>
      <c r="K24" s="138">
        <f t="shared" si="3"/>
        <v>1894048868.8282864</v>
      </c>
      <c r="L24" s="139">
        <f t="shared" si="4"/>
        <v>1.3519263874577347</v>
      </c>
    </row>
    <row r="25" spans="1:12" ht="22.5" customHeight="1">
      <c r="A25" s="65" t="str">
        <f>+'S&amp;D'!A27</f>
        <v>CMS Energy</v>
      </c>
      <c r="B25" s="93" t="str">
        <f>+'S&amp;D'!B27</f>
        <v>CMS</v>
      </c>
      <c r="C25" s="68">
        <f>+'Growth &amp; Inflation Rates'!$D$93</f>
        <v>2.2200000000000001E-2</v>
      </c>
      <c r="D25" s="318">
        <f>33135000000+944000000</f>
        <v>34079000000</v>
      </c>
      <c r="E25" s="137">
        <v>31673000000</v>
      </c>
      <c r="F25" s="137">
        <f t="shared" si="0"/>
        <v>32876000000</v>
      </c>
      <c r="G25" s="137">
        <v>1180000000</v>
      </c>
      <c r="H25" s="19">
        <f t="shared" si="5"/>
        <v>27.861016949152543</v>
      </c>
      <c r="I25" s="46">
        <f t="shared" si="1"/>
        <v>0.61851457627118644</v>
      </c>
      <c r="J25" s="47">
        <f t="shared" si="2"/>
        <v>0.54240137260206578</v>
      </c>
      <c r="K25" s="138">
        <f t="shared" si="3"/>
        <v>1594950588.3576758</v>
      </c>
      <c r="L25" s="139">
        <f t="shared" si="4"/>
        <v>1.3516530409810812</v>
      </c>
    </row>
    <row r="26" spans="1:12" ht="22.5" customHeight="1">
      <c r="A26" s="65" t="str">
        <f>+'S&amp;D'!A28</f>
        <v>DTE Energy</v>
      </c>
      <c r="B26" s="93" t="str">
        <f>+'S&amp;D'!B28</f>
        <v>DTE</v>
      </c>
      <c r="C26" s="68">
        <f>+'Growth &amp; Inflation Rates'!$D$93</f>
        <v>2.2200000000000001E-2</v>
      </c>
      <c r="D26" s="318">
        <v>37274000000</v>
      </c>
      <c r="E26" s="137">
        <v>39346000000</v>
      </c>
      <c r="F26" s="137">
        <f t="shared" si="0"/>
        <v>38310000000</v>
      </c>
      <c r="G26" s="137">
        <v>1606000000</v>
      </c>
      <c r="H26" s="19">
        <f t="shared" si="5"/>
        <v>23.854296388542963</v>
      </c>
      <c r="I26" s="46">
        <f t="shared" si="1"/>
        <v>0.52956537982565377</v>
      </c>
      <c r="J26" s="47">
        <f t="shared" si="2"/>
        <v>0.59228177984740948</v>
      </c>
      <c r="K26" s="138">
        <f t="shared" si="3"/>
        <v>2085955343.5745475</v>
      </c>
      <c r="L26" s="139">
        <f t="shared" si="4"/>
        <v>1.2988513969953597</v>
      </c>
    </row>
    <row r="27" spans="1:12" ht="22.5" customHeight="1">
      <c r="A27" s="65" t="str">
        <f>+'S&amp;D'!A29</f>
        <v>Duke Energy</v>
      </c>
      <c r="B27" s="93" t="str">
        <f>+'S&amp;D'!B29</f>
        <v>DUK</v>
      </c>
      <c r="C27" s="68">
        <f>+'Growth &amp; Inflation Rates'!$D$93</f>
        <v>2.2200000000000001E-2</v>
      </c>
      <c r="D27" s="318">
        <v>171351000000</v>
      </c>
      <c r="E27" s="137">
        <v>163839000000</v>
      </c>
      <c r="F27" s="137">
        <f t="shared" si="0"/>
        <v>167595000000</v>
      </c>
      <c r="G27" s="137">
        <v>5253000000</v>
      </c>
      <c r="H27" s="19">
        <f t="shared" si="5"/>
        <v>31.904625928041121</v>
      </c>
      <c r="I27" s="46">
        <f t="shared" si="1"/>
        <v>0.70828269560251289</v>
      </c>
      <c r="J27" s="47">
        <f t="shared" si="2"/>
        <v>0.49631959708146367</v>
      </c>
      <c r="K27" s="138">
        <f t="shared" si="3"/>
        <v>7386844869.169467</v>
      </c>
      <c r="L27" s="139">
        <f t="shared" si="4"/>
        <v>1.4062145191641855</v>
      </c>
    </row>
    <row r="28" spans="1:12" ht="22.5" customHeight="1">
      <c r="A28" s="65" t="str">
        <f>+'S&amp;D'!A30</f>
        <v>Entergy Corp</v>
      </c>
      <c r="B28" s="93" t="str">
        <f>+'S&amp;D'!B30</f>
        <v>ETR</v>
      </c>
      <c r="C28" s="68">
        <f>+'Growth &amp; Inflation Rates'!$D$93</f>
        <v>2.2200000000000001E-2</v>
      </c>
      <c r="D28" s="318">
        <v>70385532000</v>
      </c>
      <c r="E28" s="137">
        <v>67765171000</v>
      </c>
      <c r="F28" s="137">
        <f t="shared" si="0"/>
        <v>69075351500</v>
      </c>
      <c r="G28" s="137">
        <v>1845003000</v>
      </c>
      <c r="H28" s="19">
        <f t="shared" si="5"/>
        <v>37.439154028475834</v>
      </c>
      <c r="I28" s="46">
        <f t="shared" si="1"/>
        <v>0.83114921943216358</v>
      </c>
      <c r="J28" s="47">
        <f t="shared" si="2"/>
        <v>0.439526279077258</v>
      </c>
      <c r="K28" s="138">
        <f t="shared" si="3"/>
        <v>2736029801.317626</v>
      </c>
      <c r="L28" s="139">
        <f t="shared" si="4"/>
        <v>1.4829405704584904</v>
      </c>
    </row>
    <row r="29" spans="1:12" ht="22.5" customHeight="1">
      <c r="A29" s="65" t="str">
        <f>+'S&amp;D'!A31</f>
        <v>Evergy Inc</v>
      </c>
      <c r="B29" s="93" t="str">
        <f>+'S&amp;D'!B31</f>
        <v>EVRG</v>
      </c>
      <c r="C29" s="68">
        <f>+'Growth &amp; Inflation Rates'!$D$93</f>
        <v>2.2200000000000001E-2</v>
      </c>
      <c r="D29" s="318">
        <f>23595100000+13043100000</f>
        <v>36638200000</v>
      </c>
      <c r="E29" s="137">
        <f>22136500000+12304900000</f>
        <v>34441400000</v>
      </c>
      <c r="F29" s="137">
        <f t="shared" ref="F29" si="6">(D29+E29)/2</f>
        <v>35539800000</v>
      </c>
      <c r="G29" s="137">
        <v>1076500000</v>
      </c>
      <c r="H29" s="19">
        <f t="shared" ref="H29" si="7">+F29/G29</f>
        <v>33.014212726428241</v>
      </c>
      <c r="I29" s="46">
        <f t="shared" ref="I29" si="8">+C29*H29</f>
        <v>0.732915522526707</v>
      </c>
      <c r="J29" s="47">
        <f t="shared" ref="J29" si="9">1/(1+C29)^H29</f>
        <v>0.4843736849451768</v>
      </c>
      <c r="K29" s="138">
        <f t="shared" ref="K29" si="10">(G29*I29)/(1-J29)</f>
        <v>1530146032.0467014</v>
      </c>
      <c r="L29" s="139">
        <f t="shared" ref="L29" si="11">+K29/G29</f>
        <v>1.4214082973030204</v>
      </c>
    </row>
    <row r="30" spans="1:12" ht="22.5" customHeight="1">
      <c r="A30" s="65" t="str">
        <f>+'S&amp;D'!A32</f>
        <v>FirstEnergy Corp</v>
      </c>
      <c r="B30" s="93" t="str">
        <f>+'S&amp;D'!B32</f>
        <v>FE</v>
      </c>
      <c r="C30" s="68">
        <f>+'Growth &amp; Inflation Rates'!$D$93</f>
        <v>2.2200000000000001E-2</v>
      </c>
      <c r="D30" s="318">
        <f>50107000000+2116000000</f>
        <v>52223000000</v>
      </c>
      <c r="E30" s="137">
        <f>47850000000+1693000000</f>
        <v>49543000000</v>
      </c>
      <c r="F30" s="137">
        <f t="shared" si="0"/>
        <v>50883000000</v>
      </c>
      <c r="G30" s="137">
        <v>1461000000</v>
      </c>
      <c r="H30" s="19">
        <f t="shared" si="5"/>
        <v>34.827515400410675</v>
      </c>
      <c r="I30" s="46">
        <f t="shared" si="1"/>
        <v>0.773170841889117</v>
      </c>
      <c r="J30" s="47">
        <f t="shared" si="2"/>
        <v>0.46546722909816413</v>
      </c>
      <c r="K30" s="138">
        <f t="shared" si="3"/>
        <v>2113252285.9060504</v>
      </c>
      <c r="L30" s="139">
        <f t="shared" si="4"/>
        <v>1.4464423585941482</v>
      </c>
    </row>
    <row r="31" spans="1:12" ht="22.5" customHeight="1">
      <c r="A31" s="65" t="str">
        <f>+'S&amp;D'!A33</f>
        <v>OGE Energy Corp.</v>
      </c>
      <c r="B31" s="93" t="str">
        <f>+'S&amp;D'!B33</f>
        <v>OGE</v>
      </c>
      <c r="C31" s="68">
        <f>+'Growth &amp; Inflation Rates'!$D$93</f>
        <v>2.2200000000000001E-2</v>
      </c>
      <c r="D31" s="318">
        <v>16110400000</v>
      </c>
      <c r="E31" s="137">
        <v>15131300000</v>
      </c>
      <c r="F31" s="137">
        <f t="shared" si="0"/>
        <v>15620850000</v>
      </c>
      <c r="G31" s="137">
        <v>506600000</v>
      </c>
      <c r="H31" s="19">
        <f t="shared" si="5"/>
        <v>30.83468219502566</v>
      </c>
      <c r="I31" s="46">
        <f t="shared" si="1"/>
        <v>0.68452994472956974</v>
      </c>
      <c r="J31" s="47">
        <f t="shared" si="2"/>
        <v>0.50811764315368246</v>
      </c>
      <c r="K31" s="138">
        <f t="shared" si="3"/>
        <v>705011808.5620786</v>
      </c>
      <c r="L31" s="139">
        <f t="shared" si="4"/>
        <v>1.3916537871339885</v>
      </c>
    </row>
    <row r="32" spans="1:12" ht="22.5" customHeight="1">
      <c r="A32" s="65" t="str">
        <f>+'S&amp;D'!A34</f>
        <v>Otter Tail Corp</v>
      </c>
      <c r="B32" s="93" t="str">
        <f>+'S&amp;D'!B34</f>
        <v>OTTR</v>
      </c>
      <c r="C32" s="68">
        <f>+'Growth &amp; Inflation Rates'!$D$93</f>
        <v>2.2200000000000001E-2</v>
      </c>
      <c r="D32" s="318">
        <f>3127093000+349986000</f>
        <v>3477079000</v>
      </c>
      <c r="E32" s="137">
        <f>2958311000+309098000</f>
        <v>3267409000</v>
      </c>
      <c r="F32" s="137">
        <f t="shared" si="0"/>
        <v>3372244000</v>
      </c>
      <c r="G32" s="137">
        <v>97954000</v>
      </c>
      <c r="H32" s="19">
        <f t="shared" si="5"/>
        <v>34.426812585499313</v>
      </c>
      <c r="I32" s="46">
        <f t="shared" si="1"/>
        <v>0.76427523939808473</v>
      </c>
      <c r="J32" s="47">
        <f t="shared" si="2"/>
        <v>0.46958061772154508</v>
      </c>
      <c r="K32" s="138">
        <f t="shared" si="3"/>
        <v>141140801.60196456</v>
      </c>
      <c r="L32" s="139">
        <f t="shared" si="4"/>
        <v>1.4408885967082974</v>
      </c>
    </row>
    <row r="33" spans="1:12" ht="22.5" customHeight="1">
      <c r="A33" s="65" t="str">
        <f>+'S&amp;D'!A35</f>
        <v>PPL Corporation</v>
      </c>
      <c r="B33" s="93" t="str">
        <f>+'S&amp;D'!B35</f>
        <v>PPL</v>
      </c>
      <c r="C33" s="68">
        <f>+'Growth &amp; Inflation Rates'!$D$93</f>
        <v>2.2200000000000001E-2</v>
      </c>
      <c r="D33" s="318">
        <f>38608000000+72000000+1917000000</f>
        <v>40597000000</v>
      </c>
      <c r="E33" s="137">
        <f>36961000000+92000000+1583000000</f>
        <v>38636000000</v>
      </c>
      <c r="F33" s="137">
        <f t="shared" si="0"/>
        <v>39616500000</v>
      </c>
      <c r="G33" s="137">
        <v>1254000000</v>
      </c>
      <c r="H33" s="19">
        <f t="shared" si="5"/>
        <v>31.592105263157894</v>
      </c>
      <c r="I33" s="46">
        <f t="shared" si="1"/>
        <v>0.7013447368421053</v>
      </c>
      <c r="J33" s="47">
        <f t="shared" si="2"/>
        <v>0.49973708829353386</v>
      </c>
      <c r="K33" s="138">
        <f t="shared" si="3"/>
        <v>1758048177.1074142</v>
      </c>
      <c r="L33" s="139">
        <f t="shared" si="4"/>
        <v>1.4019522943440306</v>
      </c>
    </row>
    <row r="34" spans="1:12" ht="22.5" customHeight="1">
      <c r="A34" s="65" t="str">
        <f>+'S&amp;D'!A36</f>
        <v>The Southern Company</v>
      </c>
      <c r="B34" s="93" t="str">
        <f>+'S&amp;D'!B36</f>
        <v>SO</v>
      </c>
      <c r="C34" s="68">
        <f>+'Growth &amp; Inflation Rates'!$D$93</f>
        <v>2.2200000000000001E-2</v>
      </c>
      <c r="D34" s="318">
        <f>128428000000+7784000000</f>
        <v>136212000000</v>
      </c>
      <c r="E34" s="137">
        <f>117529000000+10896000000</f>
        <v>128425000000</v>
      </c>
      <c r="F34" s="137">
        <f t="shared" si="0"/>
        <v>132318500000</v>
      </c>
      <c r="G34" s="137">
        <v>4525000000</v>
      </c>
      <c r="H34" s="19">
        <f t="shared" si="5"/>
        <v>29.241657458563537</v>
      </c>
      <c r="I34" s="46">
        <f t="shared" si="1"/>
        <v>0.64916479558011053</v>
      </c>
      <c r="J34" s="47">
        <f t="shared" si="2"/>
        <v>0.52620523250997064</v>
      </c>
      <c r="K34" s="138">
        <f t="shared" si="3"/>
        <v>6199879993.5286684</v>
      </c>
      <c r="L34" s="139">
        <f t="shared" si="4"/>
        <v>1.3701392250892084</v>
      </c>
    </row>
    <row r="35" spans="1:12" ht="22.5" customHeight="1">
      <c r="A35" s="65" t="str">
        <f>+'S&amp;D'!A37</f>
        <v>WEC Energy Group</v>
      </c>
      <c r="B35" s="93" t="str">
        <f>+'S&amp;D'!B37</f>
        <v>WEC</v>
      </c>
      <c r="C35" s="68">
        <f>+'Growth &amp; Inflation Rates'!$D$93</f>
        <v>2.2200000000000001E-2</v>
      </c>
      <c r="D35" s="318">
        <f>31581500000+11073100000</f>
        <v>42654600000</v>
      </c>
      <c r="E35" s="320">
        <f>29113800000+10383800000</f>
        <v>39497600000</v>
      </c>
      <c r="F35" s="137">
        <f t="shared" si="0"/>
        <v>41076100000</v>
      </c>
      <c r="G35" s="137">
        <v>1264200000</v>
      </c>
      <c r="H35" s="19">
        <f t="shared" si="5"/>
        <v>32.491773453567475</v>
      </c>
      <c r="I35" s="46">
        <f t="shared" si="1"/>
        <v>0.72131737066919799</v>
      </c>
      <c r="J35" s="47">
        <f t="shared" si="2"/>
        <v>0.48996206595892783</v>
      </c>
      <c r="K35" s="138">
        <f t="shared" si="3"/>
        <v>1787885486.8206096</v>
      </c>
      <c r="L35" s="139">
        <f t="shared" si="4"/>
        <v>1.4142425935932681</v>
      </c>
    </row>
    <row r="36" spans="1:12" ht="22.5" customHeight="1" thickBot="1">
      <c r="A36" s="13"/>
      <c r="B36" s="13"/>
      <c r="D36" s="48"/>
      <c r="E36" s="48"/>
      <c r="F36" s="48"/>
      <c r="G36" s="48" t="s">
        <v>64</v>
      </c>
      <c r="H36" s="48"/>
      <c r="I36" s="48" t="s">
        <v>64</v>
      </c>
      <c r="J36" s="48"/>
      <c r="K36" s="48"/>
      <c r="L36" s="48"/>
    </row>
    <row r="37" spans="1:12" ht="22.5" customHeight="1" thickTop="1">
      <c r="A37" s="13"/>
      <c r="B37" s="13"/>
      <c r="D37" s="49" t="s">
        <v>0</v>
      </c>
      <c r="E37" s="36" t="s">
        <v>0</v>
      </c>
      <c r="F37" s="36"/>
      <c r="G37" s="49" t="s">
        <v>0</v>
      </c>
      <c r="H37" s="36"/>
      <c r="I37" s="49" t="s">
        <v>0</v>
      </c>
      <c r="J37" s="49" t="s">
        <v>0</v>
      </c>
      <c r="K37" s="15" t="s">
        <v>65</v>
      </c>
      <c r="L37" s="311">
        <f>MAX(L20:L35)</f>
        <v>1.4829405704584904</v>
      </c>
    </row>
    <row r="38" spans="1:12" ht="22.5" customHeight="1">
      <c r="B38" s="13"/>
      <c r="D38" s="36" t="s">
        <v>0</v>
      </c>
      <c r="E38" s="36" t="s">
        <v>0</v>
      </c>
      <c r="F38" s="36"/>
      <c r="G38" s="49"/>
      <c r="H38" s="36"/>
      <c r="I38" s="49"/>
      <c r="J38" s="49"/>
      <c r="K38" s="15" t="s">
        <v>66</v>
      </c>
      <c r="L38" s="312">
        <f>MIN(L20:L35)</f>
        <v>1.2566868631263668</v>
      </c>
    </row>
    <row r="39" spans="1:12" ht="22.5" customHeight="1">
      <c r="B39" s="13"/>
      <c r="C39" s="13"/>
      <c r="D39" s="322" t="s">
        <v>0</v>
      </c>
      <c r="E39" s="13"/>
      <c r="F39" s="13"/>
      <c r="G39" s="13"/>
      <c r="H39" s="13"/>
      <c r="I39" s="13"/>
      <c r="J39" s="13"/>
      <c r="K39" s="15" t="s">
        <v>18</v>
      </c>
      <c r="L39" s="57">
        <f>MEDIAN(L20:L35)</f>
        <v>1.4073985133403162</v>
      </c>
    </row>
    <row r="40" spans="1:12" ht="22.5" customHeight="1">
      <c r="A40" s="13"/>
      <c r="B40" s="13"/>
      <c r="C40" s="13"/>
      <c r="D40" s="13" t="s">
        <v>0</v>
      </c>
      <c r="E40" s="13"/>
      <c r="F40" s="13"/>
      <c r="G40" s="13"/>
      <c r="H40" s="13"/>
      <c r="I40" s="13"/>
      <c r="J40" s="13"/>
      <c r="K40" s="15" t="s">
        <v>441</v>
      </c>
      <c r="L40" s="57">
        <f>AVERAGE(L20:L35)</f>
        <v>1.3941827106863975</v>
      </c>
    </row>
    <row r="41" spans="1:12" ht="22.5" customHeight="1" thickBot="1">
      <c r="A41" s="13"/>
      <c r="B41" s="13"/>
      <c r="C41" s="13"/>
      <c r="D41" s="13"/>
      <c r="E41" s="13"/>
      <c r="F41" s="13"/>
      <c r="G41" s="13" t="s">
        <v>0</v>
      </c>
      <c r="H41" s="13"/>
      <c r="I41" s="13"/>
      <c r="J41" s="13"/>
      <c r="K41" s="13"/>
      <c r="L41" s="13"/>
    </row>
    <row r="42" spans="1:12" ht="22.5" customHeight="1" thickBot="1">
      <c r="A42" s="13"/>
      <c r="B42" s="13"/>
      <c r="C42" s="13"/>
      <c r="D42" s="13"/>
      <c r="E42" s="13"/>
      <c r="F42" s="13"/>
      <c r="G42" s="13"/>
      <c r="H42" s="13"/>
      <c r="I42" s="13"/>
      <c r="J42" s="13"/>
      <c r="K42" s="209" t="s">
        <v>247</v>
      </c>
      <c r="L42" s="378">
        <v>1.3942000000000001</v>
      </c>
    </row>
    <row r="43" spans="1:12" ht="17">
      <c r="A43" s="13"/>
      <c r="B43" s="13"/>
      <c r="C43" s="13"/>
      <c r="D43" s="13"/>
      <c r="E43" s="13"/>
      <c r="F43" s="13"/>
      <c r="G43" s="13"/>
      <c r="H43" s="13"/>
      <c r="I43" s="13"/>
      <c r="J43" s="13"/>
      <c r="K43" s="13"/>
      <c r="L43" s="13"/>
    </row>
    <row r="44" spans="1:12" ht="17">
      <c r="A44" s="13"/>
      <c r="B44" s="13"/>
      <c r="C44" s="13"/>
      <c r="D44" s="13"/>
      <c r="E44" s="13"/>
      <c r="F44" s="13"/>
      <c r="G44" s="13"/>
      <c r="H44" s="13"/>
      <c r="I44" s="13"/>
      <c r="J44" s="13"/>
      <c r="K44" s="13"/>
      <c r="L44" s="13"/>
    </row>
    <row r="45" spans="1:12" ht="21">
      <c r="A45" s="32" t="s">
        <v>106</v>
      </c>
      <c r="B45" s="13"/>
      <c r="C45" s="13"/>
      <c r="D45" s="13"/>
      <c r="E45" s="13"/>
      <c r="F45" s="13"/>
      <c r="G45" s="13"/>
      <c r="H45" s="13"/>
      <c r="I45" s="13"/>
      <c r="J45" s="13"/>
      <c r="K45" s="13"/>
      <c r="L45" s="13"/>
    </row>
    <row r="46" spans="1:12" ht="17">
      <c r="A46" s="13" t="s">
        <v>306</v>
      </c>
    </row>
    <row r="47" spans="1:12" ht="17">
      <c r="A47" s="13"/>
    </row>
    <row r="48" spans="1:12" ht="17">
      <c r="A48" s="13" t="s">
        <v>420</v>
      </c>
    </row>
    <row r="49" spans="1:12" ht="21">
      <c r="A49" s="246"/>
      <c r="B49" s="246"/>
      <c r="C49" s="246"/>
      <c r="D49" s="246"/>
      <c r="E49" s="246"/>
      <c r="F49" s="246"/>
      <c r="G49" s="246"/>
      <c r="H49" s="246"/>
      <c r="I49" s="246"/>
      <c r="J49" s="246"/>
      <c r="K49" s="246"/>
      <c r="L49" s="246"/>
    </row>
    <row r="50" spans="1:12" ht="25.5">
      <c r="A50" s="25" t="s">
        <v>1</v>
      </c>
      <c r="B50" s="13"/>
      <c r="C50" s="13"/>
      <c r="D50" s="13"/>
      <c r="E50" s="13"/>
      <c r="F50" s="13"/>
      <c r="G50" s="13"/>
      <c r="H50" s="13"/>
      <c r="I50" s="13"/>
      <c r="J50" s="13"/>
      <c r="K50" s="246"/>
      <c r="L50" s="246"/>
    </row>
    <row r="51" spans="1:12" ht="21">
      <c r="A51" s="26" t="s">
        <v>9</v>
      </c>
      <c r="B51" s="13"/>
      <c r="C51" s="13"/>
      <c r="D51" s="13"/>
      <c r="E51" s="13"/>
      <c r="F51" s="13"/>
      <c r="G51" s="13"/>
      <c r="H51" s="13"/>
      <c r="I51" s="13"/>
      <c r="J51" s="13"/>
      <c r="K51" s="246"/>
      <c r="L51" s="246"/>
    </row>
    <row r="52" spans="1:12" ht="21">
      <c r="A52" s="27" t="s">
        <v>483</v>
      </c>
      <c r="B52" s="13"/>
      <c r="C52" s="13"/>
      <c r="D52" s="13"/>
      <c r="E52" s="13"/>
      <c r="F52" s="13"/>
      <c r="G52" s="13"/>
      <c r="H52" s="13"/>
      <c r="I52" s="13"/>
      <c r="J52" s="13"/>
      <c r="K52" s="246"/>
      <c r="L52" s="246"/>
    </row>
    <row r="53" spans="1:12" ht="21">
      <c r="A53" s="27"/>
      <c r="B53" s="13"/>
      <c r="C53" s="13"/>
      <c r="D53" s="13"/>
      <c r="E53" s="13"/>
      <c r="F53" s="13"/>
      <c r="G53" s="13"/>
      <c r="H53" s="13"/>
      <c r="I53" s="13"/>
      <c r="J53" s="13"/>
      <c r="K53" s="246"/>
      <c r="L53" s="246"/>
    </row>
    <row r="54" spans="1:12" ht="21">
      <c r="A54" s="27"/>
      <c r="B54" s="13"/>
      <c r="C54" s="13"/>
      <c r="D54" s="13"/>
      <c r="E54" s="13"/>
      <c r="F54" s="13"/>
      <c r="G54" s="13"/>
      <c r="H54" s="13"/>
      <c r="I54" s="13"/>
      <c r="J54" s="13"/>
      <c r="K54" s="246"/>
      <c r="L54" s="246"/>
    </row>
    <row r="55" spans="1:12" ht="21">
      <c r="A55" s="27"/>
      <c r="B55" s="13"/>
      <c r="C55" s="13"/>
      <c r="D55" s="13"/>
      <c r="E55" s="13"/>
      <c r="F55" s="13"/>
      <c r="G55" s="13"/>
      <c r="H55" s="13"/>
      <c r="I55" s="13"/>
      <c r="J55" s="13"/>
      <c r="K55" s="246"/>
      <c r="L55" s="246"/>
    </row>
    <row r="56" spans="1:12" ht="21.5" thickBot="1">
      <c r="B56" s="13"/>
      <c r="C56" s="13"/>
      <c r="D56" s="13"/>
      <c r="E56" s="13"/>
      <c r="F56" s="30"/>
      <c r="G56" s="30"/>
      <c r="H56" s="31" t="s">
        <v>0</v>
      </c>
      <c r="I56" s="13"/>
      <c r="J56" s="13"/>
      <c r="K56" s="246"/>
      <c r="L56" s="246"/>
    </row>
    <row r="57" spans="1:12" ht="25.5">
      <c r="B57" s="13"/>
      <c r="C57" s="13"/>
      <c r="D57" s="13"/>
      <c r="E57" s="13"/>
      <c r="F57" s="13"/>
      <c r="G57" s="33" t="s">
        <v>334</v>
      </c>
      <c r="H57" s="13"/>
      <c r="I57" s="13"/>
      <c r="J57" s="13"/>
      <c r="K57" s="246"/>
      <c r="L57" s="246"/>
    </row>
    <row r="58" spans="1:12" ht="21.5" thickBot="1">
      <c r="B58" s="42" t="s">
        <v>0</v>
      </c>
      <c r="C58" s="42" t="s">
        <v>0</v>
      </c>
      <c r="D58" s="13"/>
      <c r="E58" s="13"/>
      <c r="F58" s="35" t="s">
        <v>0</v>
      </c>
      <c r="G58" s="34" t="s">
        <v>484</v>
      </c>
      <c r="H58" s="35" t="s">
        <v>0</v>
      </c>
      <c r="I58" s="42" t="s">
        <v>0</v>
      </c>
      <c r="J58" s="13"/>
      <c r="K58" s="246"/>
      <c r="L58" s="246"/>
    </row>
    <row r="59" spans="1:12" ht="21">
      <c r="A59" s="246"/>
      <c r="B59" s="246"/>
      <c r="C59" s="246"/>
      <c r="D59" s="246"/>
      <c r="E59" s="246"/>
      <c r="F59" s="246"/>
      <c r="G59" s="246"/>
      <c r="H59" s="246"/>
      <c r="I59" s="246"/>
      <c r="J59" s="246"/>
      <c r="K59" s="246"/>
      <c r="L59" s="246"/>
    </row>
    <row r="60" spans="1:12" ht="21">
      <c r="A60" s="246"/>
      <c r="B60" s="246"/>
      <c r="C60" s="246"/>
      <c r="D60" s="246"/>
      <c r="E60" s="246"/>
      <c r="F60" s="246"/>
      <c r="G60" s="246"/>
      <c r="H60" s="246"/>
      <c r="I60" s="246"/>
      <c r="J60" s="246"/>
      <c r="K60" s="246"/>
      <c r="L60" s="246"/>
    </row>
    <row r="61" spans="1:12" ht="21">
      <c r="A61" s="246"/>
      <c r="B61" s="246"/>
      <c r="C61" s="246"/>
      <c r="D61" s="246"/>
      <c r="E61" s="246"/>
      <c r="F61" s="246"/>
      <c r="G61" s="246"/>
      <c r="H61" s="246"/>
      <c r="I61" s="246"/>
      <c r="J61" s="246"/>
      <c r="K61" s="246"/>
      <c r="L61" s="246"/>
    </row>
    <row r="62" spans="1:12" ht="17">
      <c r="A62" s="42"/>
      <c r="B62" s="42"/>
      <c r="C62" s="42"/>
      <c r="D62" s="13"/>
      <c r="E62" s="13"/>
      <c r="J62" s="13"/>
      <c r="K62" s="13"/>
      <c r="L62" s="13"/>
    </row>
    <row r="63" spans="1:12" ht="30">
      <c r="A63" s="240" t="s">
        <v>323</v>
      </c>
      <c r="B63" s="42"/>
      <c r="C63" s="242" t="s">
        <v>328</v>
      </c>
      <c r="D63" s="13"/>
      <c r="E63" s="13"/>
      <c r="J63" s="13"/>
      <c r="K63" s="13"/>
      <c r="L63" s="13"/>
    </row>
    <row r="64" spans="1:12" ht="30">
      <c r="A64" s="240" t="s">
        <v>327</v>
      </c>
      <c r="B64" s="42"/>
      <c r="C64" s="242" t="s">
        <v>333</v>
      </c>
      <c r="D64" s="13"/>
      <c r="E64" s="13"/>
      <c r="J64" s="13"/>
      <c r="K64" s="13"/>
      <c r="L64" s="13"/>
    </row>
    <row r="65" spans="1:12" ht="18.75" customHeight="1">
      <c r="A65" s="240"/>
      <c r="B65" s="42"/>
      <c r="C65" s="242"/>
      <c r="D65" s="13"/>
      <c r="E65" s="13"/>
      <c r="J65" s="13"/>
      <c r="K65" s="13"/>
      <c r="L65" s="13"/>
    </row>
    <row r="66" spans="1:12" ht="17.5">
      <c r="A66" s="241" t="s">
        <v>324</v>
      </c>
      <c r="B66" s="42"/>
      <c r="C66" s="42"/>
      <c r="D66" s="13"/>
      <c r="E66" s="13"/>
      <c r="J66" s="13"/>
      <c r="K66" s="13"/>
      <c r="L66" s="13"/>
    </row>
    <row r="67" spans="1:12" ht="17.5">
      <c r="A67" s="241" t="s">
        <v>325</v>
      </c>
      <c r="B67" s="42"/>
      <c r="C67" s="42"/>
      <c r="D67" s="13"/>
      <c r="E67" s="13"/>
      <c r="J67" s="13"/>
      <c r="K67" s="13"/>
      <c r="L67" s="13"/>
    </row>
    <row r="68" spans="1:12" ht="17.5">
      <c r="A68" s="241" t="s">
        <v>326</v>
      </c>
      <c r="B68" s="42"/>
      <c r="C68" s="42"/>
      <c r="D68" s="13"/>
      <c r="E68" s="13"/>
      <c r="J68" s="13"/>
      <c r="K68" s="13"/>
      <c r="L68" s="13"/>
    </row>
    <row r="74" spans="1:12" ht="30">
      <c r="A74" s="243" t="s">
        <v>332</v>
      </c>
      <c r="B74" s="113"/>
      <c r="C74" s="113"/>
      <c r="D74" s="113"/>
      <c r="E74" s="113"/>
      <c r="F74" s="113"/>
      <c r="G74" s="13"/>
      <c r="H74" s="13"/>
      <c r="I74" s="13"/>
    </row>
    <row r="75" spans="1:12" ht="17.5">
      <c r="A75" s="113"/>
      <c r="B75" s="113"/>
      <c r="C75" s="113"/>
      <c r="D75" s="113"/>
      <c r="E75" s="113"/>
      <c r="F75" s="113"/>
      <c r="G75" s="13"/>
      <c r="H75" s="13"/>
      <c r="I75" s="13"/>
    </row>
    <row r="76" spans="1:12" ht="18" thickBot="1">
      <c r="A76" s="244" t="s">
        <v>329</v>
      </c>
      <c r="B76" s="115"/>
      <c r="C76" s="115"/>
      <c r="D76" s="245" t="s">
        <v>331</v>
      </c>
      <c r="E76" s="115"/>
      <c r="F76" s="113"/>
      <c r="G76" s="13"/>
      <c r="H76" s="13"/>
      <c r="I76" s="13"/>
    </row>
    <row r="77" spans="1:12" ht="17.5">
      <c r="A77" s="113"/>
      <c r="B77" s="113"/>
      <c r="C77" s="113"/>
      <c r="D77" s="113" t="s">
        <v>330</v>
      </c>
      <c r="E77" s="113"/>
      <c r="F77" s="113"/>
      <c r="G77" s="13"/>
      <c r="H77" s="13"/>
      <c r="I77" s="13"/>
    </row>
    <row r="78" spans="1:12" ht="17.5">
      <c r="A78" s="113"/>
      <c r="B78" s="113"/>
      <c r="C78" s="113"/>
      <c r="D78" s="113"/>
      <c r="E78" s="113"/>
      <c r="F78" s="113"/>
      <c r="G78" s="13"/>
      <c r="H78" s="13"/>
      <c r="I78" s="13"/>
    </row>
    <row r="79" spans="1:12" ht="17">
      <c r="A79" s="13"/>
      <c r="B79" s="13"/>
      <c r="C79" s="13"/>
      <c r="D79" s="13"/>
      <c r="E79" s="13"/>
      <c r="F79" s="13"/>
      <c r="G79" s="13"/>
      <c r="H79" s="13"/>
      <c r="I79" s="13"/>
    </row>
    <row r="80" spans="1:12" ht="17">
      <c r="A80" s="13"/>
      <c r="B80" s="13"/>
      <c r="C80" s="13"/>
      <c r="D80" s="13"/>
      <c r="E80" s="13"/>
      <c r="F80" s="13"/>
      <c r="G80" s="13"/>
      <c r="H80" s="13"/>
      <c r="I80" s="13"/>
    </row>
    <row r="81" spans="1:9" ht="17">
      <c r="A81" s="13"/>
      <c r="B81" s="13"/>
      <c r="C81" s="13"/>
      <c r="D81" s="13"/>
      <c r="E81" s="13"/>
      <c r="F81" s="13"/>
      <c r="G81" s="13"/>
      <c r="H81" s="13"/>
      <c r="I81" s="13"/>
    </row>
    <row r="82" spans="1:9" ht="17">
      <c r="A82" s="13"/>
      <c r="B82" s="13"/>
      <c r="C82" s="13"/>
      <c r="D82" s="13"/>
      <c r="E82" s="13"/>
      <c r="F82" s="13"/>
      <c r="G82" s="13"/>
      <c r="H82" s="13"/>
      <c r="I82" s="13"/>
    </row>
    <row r="83" spans="1:9" ht="17">
      <c r="A83" s="13"/>
      <c r="B83" s="13"/>
      <c r="C83" s="13"/>
      <c r="D83" s="13"/>
      <c r="E83" s="13"/>
      <c r="F83" s="13"/>
      <c r="G83" s="13"/>
      <c r="H83" s="13"/>
      <c r="I83" s="13"/>
    </row>
    <row r="84" spans="1:9" ht="17">
      <c r="A84" s="13" t="s">
        <v>0</v>
      </c>
      <c r="B84" s="13"/>
      <c r="C84" s="13"/>
      <c r="D84" s="13"/>
      <c r="E84" s="13"/>
      <c r="F84" s="13"/>
      <c r="G84" s="13"/>
      <c r="H84" s="13"/>
      <c r="I84" s="13"/>
    </row>
    <row r="85" spans="1:9" ht="17">
      <c r="A85" s="13"/>
      <c r="B85" s="13"/>
      <c r="C85" s="13"/>
      <c r="D85" s="13"/>
      <c r="E85" s="13"/>
      <c r="F85" s="13"/>
      <c r="G85" s="13"/>
      <c r="H85" s="13"/>
      <c r="I85" s="13"/>
    </row>
  </sheetData>
  <pageMargins left="0.25" right="0.25" top="0.75" bottom="0.75" header="0.3" footer="0.3"/>
  <pageSetup scale="51" orientation="landscape" r:id="rId1"/>
  <rowBreaks count="1" manualBreakCount="1">
    <brk id="48"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J43"/>
  <sheetViews>
    <sheetView view="pageBreakPreview" topLeftCell="A12" zoomScale="60" zoomScaleNormal="80" workbookViewId="0">
      <selection activeCell="M35" sqref="M35"/>
    </sheetView>
  </sheetViews>
  <sheetFormatPr defaultRowHeight="14.5"/>
  <cols>
    <col min="1" max="1" width="45.1796875" customWidth="1"/>
    <col min="2" max="2" width="17" customWidth="1"/>
    <col min="3" max="3" width="24.54296875" customWidth="1"/>
    <col min="4" max="4" width="16.81640625" customWidth="1"/>
    <col min="5" max="5" width="23.54296875" customWidth="1"/>
    <col min="6" max="6" width="22.81640625" customWidth="1"/>
    <col min="7" max="7" width="21.26953125" customWidth="1"/>
    <col min="8" max="8" width="19.7265625" customWidth="1"/>
    <col min="9" max="9" width="32.1796875" customWidth="1"/>
    <col min="10" max="10" width="14.1796875" bestFit="1" customWidth="1"/>
    <col min="12" max="12" width="10.54296875" customWidth="1"/>
  </cols>
  <sheetData>
    <row r="1" spans="1:9" ht="25.5">
      <c r="A1" s="25" t="s">
        <v>1</v>
      </c>
      <c r="B1" s="13"/>
      <c r="C1" s="13"/>
      <c r="D1" s="13"/>
      <c r="E1" s="13"/>
      <c r="F1" s="13"/>
      <c r="G1" s="13"/>
      <c r="H1" s="13"/>
      <c r="I1" s="13"/>
    </row>
    <row r="2" spans="1:9" ht="17.5">
      <c r="A2" s="26" t="s">
        <v>9</v>
      </c>
      <c r="B2" s="13"/>
      <c r="C2" s="13"/>
      <c r="D2" s="13"/>
      <c r="E2" s="13"/>
      <c r="F2" s="13"/>
      <c r="G2" s="13"/>
      <c r="H2" s="13"/>
      <c r="I2" s="13"/>
    </row>
    <row r="3" spans="1:9" ht="17">
      <c r="A3" s="27" t="s">
        <v>483</v>
      </c>
      <c r="B3" s="13"/>
      <c r="C3" s="13"/>
      <c r="D3" s="13"/>
      <c r="E3" s="13"/>
      <c r="F3" s="13"/>
      <c r="G3" s="13"/>
      <c r="H3" s="13"/>
      <c r="I3" s="13"/>
    </row>
    <row r="4" spans="1:9" ht="17">
      <c r="A4" s="27"/>
      <c r="B4" s="13"/>
      <c r="C4" s="13"/>
      <c r="D4" s="13"/>
      <c r="E4" s="13"/>
      <c r="F4" s="13"/>
      <c r="G4" s="13"/>
      <c r="H4" s="13"/>
      <c r="I4" s="13"/>
    </row>
    <row r="5" spans="1:9" ht="17">
      <c r="A5" s="27"/>
      <c r="B5" s="13"/>
      <c r="C5" s="13"/>
      <c r="D5" s="13"/>
      <c r="E5" s="13"/>
      <c r="F5" s="13"/>
      <c r="G5" s="13"/>
      <c r="H5" s="13"/>
      <c r="I5" s="13"/>
    </row>
    <row r="6" spans="1:9" ht="17">
      <c r="A6" s="27"/>
      <c r="B6" s="13"/>
      <c r="C6" s="13"/>
      <c r="D6" s="13"/>
      <c r="E6" s="13"/>
      <c r="F6" s="13"/>
      <c r="G6" s="13"/>
      <c r="H6" s="13"/>
      <c r="I6" s="13"/>
    </row>
    <row r="7" spans="1:9" ht="17.5" thickBot="1">
      <c r="A7" s="13"/>
      <c r="B7" s="13"/>
      <c r="C7" s="13"/>
      <c r="H7" s="28"/>
      <c r="I7" s="13"/>
    </row>
    <row r="8" spans="1:9" ht="21.5" thickBot="1">
      <c r="A8" s="275" t="str">
        <f>+'S&amp;D'!A12</f>
        <v>Electric Utilities</v>
      </c>
      <c r="B8" s="203"/>
      <c r="C8" s="13"/>
      <c r="D8" s="30"/>
      <c r="E8" s="30"/>
      <c r="F8" s="30"/>
      <c r="H8" s="13"/>
      <c r="I8" s="13"/>
    </row>
    <row r="9" spans="1:9" ht="25.5">
      <c r="A9" s="32"/>
      <c r="B9" s="13"/>
      <c r="C9" s="13"/>
      <c r="D9" s="13"/>
      <c r="E9" s="33" t="s">
        <v>157</v>
      </c>
      <c r="F9" s="33"/>
      <c r="H9" s="13"/>
      <c r="I9" s="13"/>
    </row>
    <row r="10" spans="1:9" ht="21.5" thickBot="1">
      <c r="A10" s="32"/>
      <c r="B10" s="13"/>
      <c r="C10" s="13"/>
      <c r="D10" s="30"/>
      <c r="E10" s="34" t="s">
        <v>484</v>
      </c>
      <c r="F10" s="38"/>
      <c r="H10" s="13"/>
      <c r="I10" s="13"/>
    </row>
    <row r="11" spans="1:9" ht="21">
      <c r="A11" s="32"/>
      <c r="B11" s="13"/>
      <c r="I11" s="13"/>
    </row>
    <row r="12" spans="1:9" ht="17.5" thickBot="1">
      <c r="A12" s="35" t="s">
        <v>0</v>
      </c>
      <c r="B12" s="35" t="s">
        <v>0</v>
      </c>
      <c r="C12" s="35" t="s">
        <v>0</v>
      </c>
      <c r="D12" s="35" t="s">
        <v>0</v>
      </c>
      <c r="E12" s="35" t="s">
        <v>0</v>
      </c>
      <c r="F12" s="35"/>
      <c r="G12" s="35"/>
      <c r="H12" s="30"/>
      <c r="I12" s="30"/>
    </row>
    <row r="13" spans="1:9" ht="17.5">
      <c r="A13" s="93" t="s">
        <v>0</v>
      </c>
      <c r="B13" s="93" t="s">
        <v>3</v>
      </c>
      <c r="C13" s="93" t="s">
        <v>5</v>
      </c>
      <c r="D13" s="93" t="s">
        <v>21</v>
      </c>
      <c r="E13" s="187" t="s">
        <v>267</v>
      </c>
      <c r="F13" s="187" t="s">
        <v>377</v>
      </c>
      <c r="G13" s="93" t="s">
        <v>20</v>
      </c>
      <c r="H13" s="93" t="s">
        <v>181</v>
      </c>
      <c r="I13" s="93" t="s">
        <v>181</v>
      </c>
    </row>
    <row r="14" spans="1:9" ht="18" thickBot="1">
      <c r="A14" s="100" t="s">
        <v>2</v>
      </c>
      <c r="B14" s="100" t="s">
        <v>4</v>
      </c>
      <c r="C14" s="100" t="s">
        <v>6</v>
      </c>
      <c r="D14" s="100" t="s">
        <v>23</v>
      </c>
      <c r="E14" s="100" t="s">
        <v>378</v>
      </c>
      <c r="F14" s="100" t="s">
        <v>228</v>
      </c>
      <c r="G14" s="100" t="s">
        <v>22</v>
      </c>
      <c r="H14" s="100" t="s">
        <v>205</v>
      </c>
      <c r="I14" s="100" t="s">
        <v>153</v>
      </c>
    </row>
    <row r="15" spans="1:9" ht="15">
      <c r="A15" s="40" t="s">
        <v>7</v>
      </c>
      <c r="B15" s="40" t="s">
        <v>7</v>
      </c>
      <c r="C15" s="40" t="s">
        <v>7</v>
      </c>
      <c r="D15" s="40" t="s">
        <v>7</v>
      </c>
      <c r="E15" s="236" t="s">
        <v>487</v>
      </c>
      <c r="F15" s="236" t="s">
        <v>487</v>
      </c>
      <c r="G15" s="40" t="s">
        <v>7</v>
      </c>
      <c r="H15" s="40" t="s">
        <v>7</v>
      </c>
      <c r="I15" s="236" t="s">
        <v>487</v>
      </c>
    </row>
    <row r="16" spans="1:9" ht="17">
      <c r="A16" s="36"/>
      <c r="B16" s="36"/>
      <c r="C16" s="36"/>
      <c r="D16" s="36"/>
      <c r="G16" s="36"/>
      <c r="H16" s="36"/>
      <c r="I16" s="36"/>
    </row>
    <row r="17" spans="1:10" ht="17">
      <c r="A17" s="13"/>
      <c r="B17" s="13"/>
      <c r="C17" s="13"/>
      <c r="D17" s="13"/>
      <c r="G17" s="13"/>
      <c r="H17" s="13"/>
      <c r="I17" s="13"/>
    </row>
    <row r="18" spans="1:10" ht="20.25" customHeight="1">
      <c r="A18" s="65" t="str">
        <f>+'S&amp;D'!A22</f>
        <v>ALLETE Inc</v>
      </c>
      <c r="B18" s="93" t="str">
        <f>+'S&amp;D'!B22</f>
        <v>ALE</v>
      </c>
      <c r="C18" s="93" t="str">
        <f>+'S&amp;D'!C22</f>
        <v>Electric Utility - Cent</v>
      </c>
      <c r="D18" s="308" t="s">
        <v>523</v>
      </c>
      <c r="E18" s="141">
        <v>0.08</v>
      </c>
      <c r="F18" s="141">
        <v>2.5000000000000001E-2</v>
      </c>
      <c r="G18" s="93" t="s">
        <v>26</v>
      </c>
      <c r="H18" s="62">
        <v>0.95</v>
      </c>
      <c r="I18" s="62">
        <v>0.95</v>
      </c>
    </row>
    <row r="19" spans="1:10" ht="20.25" customHeight="1">
      <c r="A19" s="65" t="str">
        <f>+'S&amp;D'!A23</f>
        <v>Alliant Energy</v>
      </c>
      <c r="B19" s="93" t="str">
        <f>+'S&amp;D'!B23</f>
        <v>LNT</v>
      </c>
      <c r="C19" s="93" t="str">
        <f>+'S&amp;D'!C23</f>
        <v>Electric Utility - Cent</v>
      </c>
      <c r="D19" s="142">
        <v>0.02</v>
      </c>
      <c r="E19" s="141">
        <v>0.11</v>
      </c>
      <c r="F19" s="141">
        <v>0.04</v>
      </c>
      <c r="G19" s="93" t="s">
        <v>26</v>
      </c>
      <c r="H19" s="62">
        <v>0.9</v>
      </c>
      <c r="I19" s="62">
        <v>0.9</v>
      </c>
    </row>
    <row r="20" spans="1:10" ht="20.25" customHeight="1">
      <c r="A20" s="65" t="str">
        <f>+'S&amp;D'!A24</f>
        <v>AMEREN Corporation</v>
      </c>
      <c r="B20" s="93" t="str">
        <f>+'S&amp;D'!B24</f>
        <v>AEE</v>
      </c>
      <c r="C20" s="93" t="str">
        <f>+'S&amp;D'!C24</f>
        <v>Electric Utility - Cent</v>
      </c>
      <c r="D20" s="142">
        <v>0.12</v>
      </c>
      <c r="E20" s="141">
        <v>0.11</v>
      </c>
      <c r="F20" s="141">
        <v>0.05</v>
      </c>
      <c r="G20" s="93" t="s">
        <v>24</v>
      </c>
      <c r="H20" s="62">
        <v>0.9</v>
      </c>
      <c r="I20" s="62">
        <v>0.9</v>
      </c>
    </row>
    <row r="21" spans="1:10" ht="20.25" customHeight="1">
      <c r="A21" s="65" t="str">
        <f>+'S&amp;D'!A25</f>
        <v>American Electric Power</v>
      </c>
      <c r="B21" s="93" t="str">
        <f>+'S&amp;D'!B25</f>
        <v>AEP</v>
      </c>
      <c r="C21" s="93" t="str">
        <f>+'S&amp;D'!C25</f>
        <v>Electric Utility - Cent</v>
      </c>
      <c r="D21" s="142">
        <v>0.21</v>
      </c>
      <c r="E21" s="141">
        <v>0.1</v>
      </c>
      <c r="F21" s="141">
        <v>0.04</v>
      </c>
      <c r="G21" s="93" t="s">
        <v>63</v>
      </c>
      <c r="H21" s="62">
        <v>0.8</v>
      </c>
      <c r="I21" s="62">
        <v>0.8</v>
      </c>
    </row>
    <row r="22" spans="1:10" ht="20.25" customHeight="1">
      <c r="A22" s="65" t="str">
        <f>+'S&amp;D'!A26</f>
        <v>Centerpoint Energy</v>
      </c>
      <c r="B22" s="93" t="str">
        <f>+'S&amp;D'!B26</f>
        <v>CNP</v>
      </c>
      <c r="C22" s="93" t="str">
        <f>+'S&amp;D'!C26</f>
        <v>Electric Utility - Cent</v>
      </c>
      <c r="D22" s="142">
        <v>0.16</v>
      </c>
      <c r="E22" s="141">
        <v>0.09</v>
      </c>
      <c r="F22" s="141">
        <v>0.04</v>
      </c>
      <c r="G22" s="93" t="s">
        <v>26</v>
      </c>
      <c r="H22" s="62">
        <v>1.1499999999999999</v>
      </c>
      <c r="I22" s="62">
        <v>1.1499999999999999</v>
      </c>
    </row>
    <row r="23" spans="1:10" ht="20.25" customHeight="1">
      <c r="A23" s="65" t="str">
        <f>+'S&amp;D'!A27</f>
        <v>CMS Energy</v>
      </c>
      <c r="B23" s="93" t="str">
        <f>+'S&amp;D'!B27</f>
        <v>CMS</v>
      </c>
      <c r="C23" s="93" t="str">
        <f>+'S&amp;D'!C27</f>
        <v>Electric Utility - Cent</v>
      </c>
      <c r="D23" s="142">
        <v>0.155</v>
      </c>
      <c r="E23" s="141">
        <v>0.12</v>
      </c>
      <c r="F23" s="141">
        <v>4.4999999999999998E-2</v>
      </c>
      <c r="G23" s="93" t="s">
        <v>24</v>
      </c>
      <c r="H23" s="62">
        <v>0.85</v>
      </c>
      <c r="I23" s="62">
        <v>0.85</v>
      </c>
    </row>
    <row r="24" spans="1:10" ht="20.25" customHeight="1">
      <c r="A24" s="65" t="str">
        <f>+'S&amp;D'!A28</f>
        <v>DTE Energy</v>
      </c>
      <c r="B24" s="93" t="str">
        <f>+'S&amp;D'!B28</f>
        <v>DTE</v>
      </c>
      <c r="C24" s="93" t="str">
        <f>+'S&amp;D'!C28</f>
        <v>Electric Utility - Cent</v>
      </c>
      <c r="D24" s="142">
        <v>0.05</v>
      </c>
      <c r="E24" s="141">
        <v>0.115</v>
      </c>
      <c r="F24" s="141">
        <v>4.4999999999999998E-2</v>
      </c>
      <c r="G24" s="93" t="s">
        <v>26</v>
      </c>
      <c r="H24" s="62">
        <v>1</v>
      </c>
      <c r="I24" s="62">
        <v>1</v>
      </c>
    </row>
    <row r="25" spans="1:10" ht="20.25" customHeight="1">
      <c r="A25" s="65" t="str">
        <f>+'S&amp;D'!A29</f>
        <v>Duke Energy</v>
      </c>
      <c r="B25" s="93" t="str">
        <f>+'S&amp;D'!B29</f>
        <v>DUK</v>
      </c>
      <c r="C25" s="93" t="str">
        <f>+'S&amp;D'!C29</f>
        <v>Electric Utility - East</v>
      </c>
      <c r="D25" s="142">
        <v>0.09</v>
      </c>
      <c r="E25" s="141">
        <v>0.09</v>
      </c>
      <c r="F25" s="141">
        <v>2.5000000000000001E-2</v>
      </c>
      <c r="G25" s="93" t="s">
        <v>24</v>
      </c>
      <c r="H25" s="62">
        <v>0.9</v>
      </c>
      <c r="I25" s="62">
        <v>0.9</v>
      </c>
      <c r="J25" s="11" t="s">
        <v>0</v>
      </c>
    </row>
    <row r="26" spans="1:10" ht="20.25" customHeight="1">
      <c r="A26" s="65" t="str">
        <f>+'S&amp;D'!A30</f>
        <v>Entergy Corp</v>
      </c>
      <c r="B26" s="93" t="str">
        <f>+'S&amp;D'!B30</f>
        <v>ETR</v>
      </c>
      <c r="C26" s="93" t="str">
        <f>+'S&amp;D'!C30</f>
        <v>Electric Utility - Cent</v>
      </c>
      <c r="D26" s="142">
        <v>0.23</v>
      </c>
      <c r="E26" s="141">
        <v>0.09</v>
      </c>
      <c r="F26" s="141">
        <v>2.5000000000000001E-2</v>
      </c>
      <c r="G26" s="93" t="s">
        <v>26</v>
      </c>
      <c r="H26" s="62">
        <v>0.95</v>
      </c>
      <c r="I26" s="62">
        <v>0.95</v>
      </c>
      <c r="J26" s="11"/>
    </row>
    <row r="27" spans="1:10" ht="20.25" customHeight="1">
      <c r="A27" s="65" t="str">
        <f>+'S&amp;D'!A31</f>
        <v>Evergy Inc</v>
      </c>
      <c r="B27" s="93" t="str">
        <f>+'S&amp;D'!B31</f>
        <v>EVRG</v>
      </c>
      <c r="C27" s="93" t="str">
        <f>+'S&amp;D'!C31</f>
        <v>Electric Utility - Cent</v>
      </c>
      <c r="D27" s="142">
        <v>0.09</v>
      </c>
      <c r="E27" s="141">
        <v>0.09</v>
      </c>
      <c r="F27" s="141">
        <v>0.03</v>
      </c>
      <c r="G27" s="93" t="s">
        <v>26</v>
      </c>
      <c r="H27" s="62">
        <v>0.95</v>
      </c>
      <c r="I27" s="62">
        <v>0.95</v>
      </c>
      <c r="J27" s="11"/>
    </row>
    <row r="28" spans="1:10" ht="20.25" customHeight="1">
      <c r="A28" s="65" t="str">
        <f>+'S&amp;D'!A32</f>
        <v>FirstEnergy Corp</v>
      </c>
      <c r="B28" s="93" t="str">
        <f>+'S&amp;D'!B32</f>
        <v>FE</v>
      </c>
      <c r="C28" s="93" t="str">
        <f>+'S&amp;D'!C32</f>
        <v>Electric Utility - East</v>
      </c>
      <c r="D28" s="142">
        <v>0.21</v>
      </c>
      <c r="E28" s="141">
        <v>0.14000000000000001</v>
      </c>
      <c r="F28" s="141">
        <v>5.5E-2</v>
      </c>
      <c r="G28" s="93" t="s">
        <v>25</v>
      </c>
      <c r="H28" s="62">
        <v>0.9</v>
      </c>
      <c r="I28" s="62">
        <v>0.9</v>
      </c>
      <c r="J28" s="11" t="s">
        <v>0</v>
      </c>
    </row>
    <row r="29" spans="1:10" ht="20.25" customHeight="1">
      <c r="A29" s="65" t="str">
        <f>+'S&amp;D'!A33</f>
        <v>OGE Energy Corp.</v>
      </c>
      <c r="B29" s="93" t="str">
        <f>+'S&amp;D'!B33</f>
        <v>OGE</v>
      </c>
      <c r="C29" s="93" t="str">
        <f>+'S&amp;D'!C33</f>
        <v>Electric Utility - Cent</v>
      </c>
      <c r="D29" s="142">
        <v>0.12</v>
      </c>
      <c r="E29" s="141">
        <v>0.125</v>
      </c>
      <c r="F29" s="141">
        <v>4.4999999999999998E-2</v>
      </c>
      <c r="G29" s="93" t="s">
        <v>26</v>
      </c>
      <c r="H29" s="62">
        <v>1.05</v>
      </c>
      <c r="I29" s="62">
        <v>1.05</v>
      </c>
      <c r="J29" s="11"/>
    </row>
    <row r="30" spans="1:10" ht="20.25" customHeight="1">
      <c r="A30" s="65" t="str">
        <f>+'S&amp;D'!A34</f>
        <v>Otter Tail Corp</v>
      </c>
      <c r="B30" s="93" t="str">
        <f>+'S&amp;D'!B34</f>
        <v>OTTR</v>
      </c>
      <c r="C30" s="93" t="str">
        <f>+'S&amp;D'!C34</f>
        <v>Electric Utility - Cent</v>
      </c>
      <c r="D30" s="142">
        <v>0.2</v>
      </c>
      <c r="E30" s="141">
        <v>0.13</v>
      </c>
      <c r="F30" s="141">
        <v>7.0000000000000007E-2</v>
      </c>
      <c r="G30" s="93" t="s">
        <v>26</v>
      </c>
      <c r="H30" s="62">
        <v>0.95</v>
      </c>
      <c r="I30" s="62">
        <v>0.95</v>
      </c>
      <c r="J30" s="11"/>
    </row>
    <row r="31" spans="1:10" ht="20.25" customHeight="1">
      <c r="A31" s="65" t="str">
        <f>+'S&amp;D'!A35</f>
        <v>PPL Corporation</v>
      </c>
      <c r="B31" s="93" t="str">
        <f>+'S&amp;D'!B35</f>
        <v>PPL</v>
      </c>
      <c r="C31" s="93" t="str">
        <f>+'S&amp;D'!C35</f>
        <v>Electric Utility - East</v>
      </c>
      <c r="D31" s="142">
        <v>0.21</v>
      </c>
      <c r="E31" s="271">
        <v>8.5000000000000006E-2</v>
      </c>
      <c r="F31" s="271">
        <v>3.5000000000000003E-2</v>
      </c>
      <c r="G31" s="93" t="s">
        <v>26</v>
      </c>
      <c r="H31" s="62">
        <v>1.1000000000000001</v>
      </c>
      <c r="I31" s="62">
        <v>1.1000000000000001</v>
      </c>
      <c r="J31" s="11" t="s">
        <v>0</v>
      </c>
    </row>
    <row r="32" spans="1:10" ht="20.25" customHeight="1">
      <c r="A32" s="65" t="str">
        <f>+'S&amp;D'!A36</f>
        <v>The Southern Company</v>
      </c>
      <c r="B32" s="93" t="str">
        <f>+'S&amp;D'!B36</f>
        <v>SO</v>
      </c>
      <c r="C32" s="93" t="str">
        <f>+'S&amp;D'!C36</f>
        <v>Electric Utility - East</v>
      </c>
      <c r="D32" s="142">
        <v>0.15</v>
      </c>
      <c r="E32" s="271">
        <v>0.13</v>
      </c>
      <c r="F32" s="271">
        <v>3.5000000000000003E-2</v>
      </c>
      <c r="G32" s="93" t="s">
        <v>24</v>
      </c>
      <c r="H32" s="62">
        <v>0.95</v>
      </c>
      <c r="I32" s="62">
        <v>0.95</v>
      </c>
      <c r="J32" s="11" t="s">
        <v>0</v>
      </c>
    </row>
    <row r="33" spans="1:9" ht="20.25" customHeight="1" thickBot="1">
      <c r="A33" s="65" t="str">
        <f>+'S&amp;D'!A37</f>
        <v>WEC Energy Group</v>
      </c>
      <c r="B33" s="93" t="str">
        <f>+'S&amp;D'!B37</f>
        <v>WEC</v>
      </c>
      <c r="C33" s="93" t="str">
        <f>+'S&amp;D'!C37</f>
        <v>Electric Utility - Cent</v>
      </c>
      <c r="D33" s="306">
        <v>0.19</v>
      </c>
      <c r="E33" s="307">
        <v>0.125</v>
      </c>
      <c r="F33" s="307">
        <v>0.04</v>
      </c>
      <c r="G33" s="305" t="s">
        <v>63</v>
      </c>
      <c r="H33" s="67">
        <v>0.85</v>
      </c>
      <c r="I33" s="67">
        <v>0.85</v>
      </c>
    </row>
    <row r="34" spans="1:9" ht="20.25" customHeight="1" thickTop="1">
      <c r="A34" s="113"/>
      <c r="B34" s="113"/>
      <c r="C34" s="4"/>
      <c r="D34" s="183" t="s">
        <v>0</v>
      </c>
      <c r="E34" s="4"/>
      <c r="F34" s="4"/>
      <c r="G34" s="121" t="s">
        <v>65</v>
      </c>
      <c r="H34" s="309">
        <f>MAX(H18:H33)</f>
        <v>1.1499999999999999</v>
      </c>
      <c r="I34" s="309">
        <f>MAX(I18:I33)</f>
        <v>1.1499999999999999</v>
      </c>
    </row>
    <row r="35" spans="1:9" ht="20.25" customHeight="1">
      <c r="A35" s="113"/>
      <c r="B35" s="113"/>
      <c r="C35" s="4"/>
      <c r="D35" s="183" t="s">
        <v>0</v>
      </c>
      <c r="E35" s="4"/>
      <c r="F35" s="4"/>
      <c r="G35" s="121" t="s">
        <v>66</v>
      </c>
      <c r="H35" s="366">
        <f>MIN(H18:H33)</f>
        <v>0.8</v>
      </c>
      <c r="I35" s="366">
        <f>MIN(I18:I33)</f>
        <v>0.8</v>
      </c>
    </row>
    <row r="36" spans="1:9" ht="20.25" customHeight="1">
      <c r="A36" s="113"/>
      <c r="B36" s="113"/>
      <c r="C36" s="4"/>
      <c r="D36" s="184" t="s">
        <v>0</v>
      </c>
      <c r="E36" s="4"/>
      <c r="F36" s="4"/>
      <c r="G36" s="121" t="s">
        <v>18</v>
      </c>
      <c r="H36" s="185">
        <f>MEDIAN(H18:H33)</f>
        <v>0.95</v>
      </c>
      <c r="I36" s="185">
        <f>MEDIAN(I18:I33)</f>
        <v>0.95</v>
      </c>
    </row>
    <row r="37" spans="1:9" ht="20.25" customHeight="1">
      <c r="A37" s="113"/>
      <c r="B37" s="113"/>
      <c r="C37" s="4"/>
      <c r="D37" s="124" t="s">
        <v>0</v>
      </c>
      <c r="E37" s="4"/>
      <c r="F37" s="4"/>
      <c r="G37" s="121" t="s">
        <v>441</v>
      </c>
      <c r="H37" s="186">
        <f>AVERAGE(H18:H33)</f>
        <v>0.9468749999999998</v>
      </c>
      <c r="I37" s="186">
        <f>AVERAGE(I18:I33)</f>
        <v>0.9468749999999998</v>
      </c>
    </row>
    <row r="38" spans="1:9" ht="20.25" customHeight="1" thickBot="1">
      <c r="A38" s="13"/>
      <c r="B38" s="13"/>
      <c r="C38" s="13"/>
      <c r="D38" s="13"/>
      <c r="G38" s="13"/>
      <c r="H38" s="13"/>
      <c r="I38" s="13"/>
    </row>
    <row r="39" spans="1:9" ht="20.25" customHeight="1" thickBot="1">
      <c r="A39" s="13"/>
      <c r="B39" s="13"/>
      <c r="C39" s="13"/>
      <c r="D39" s="13"/>
      <c r="G39" s="13"/>
      <c r="H39" s="209" t="s">
        <v>108</v>
      </c>
      <c r="I39" s="314">
        <v>0.95</v>
      </c>
    </row>
    <row r="42" spans="1:9" ht="17.5">
      <c r="A42" s="113" t="s">
        <v>379</v>
      </c>
    </row>
    <row r="43" spans="1:9" ht="17.5">
      <c r="A43" s="113" t="s">
        <v>380</v>
      </c>
    </row>
  </sheetData>
  <pageMargins left="0.25" right="0.25" top="0.75" bottom="0.75" header="0.3" footer="0.3"/>
  <pageSetup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K39"/>
  <sheetViews>
    <sheetView view="pageBreakPreview" topLeftCell="A7" zoomScale="60" zoomScaleNormal="80" workbookViewId="0">
      <selection activeCell="L28" sqref="L28"/>
    </sheetView>
  </sheetViews>
  <sheetFormatPr defaultRowHeight="14.5"/>
  <cols>
    <col min="1" max="1" width="50.453125" customWidth="1"/>
    <col min="2" max="2" width="10.81640625" bestFit="1" customWidth="1"/>
    <col min="3" max="3" width="23.7265625"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5" t="s">
        <v>1</v>
      </c>
      <c r="B1" s="13"/>
      <c r="C1" s="13"/>
      <c r="D1" s="13"/>
      <c r="E1" s="13"/>
      <c r="F1" s="13"/>
      <c r="G1" s="13"/>
      <c r="H1" s="13"/>
      <c r="I1" s="13"/>
      <c r="J1" s="13"/>
    </row>
    <row r="2" spans="1:11" ht="17.5">
      <c r="A2" s="26" t="s">
        <v>9</v>
      </c>
      <c r="B2" s="13"/>
      <c r="C2" s="13"/>
      <c r="D2" s="13"/>
      <c r="E2" s="13"/>
      <c r="F2" s="13"/>
      <c r="G2" s="13"/>
      <c r="H2" s="13"/>
      <c r="I2" s="13"/>
      <c r="J2" s="13"/>
    </row>
    <row r="3" spans="1:11" ht="17">
      <c r="A3" s="27" t="s">
        <v>483</v>
      </c>
      <c r="B3" s="13"/>
      <c r="C3" s="13"/>
      <c r="D3" s="13"/>
      <c r="E3" s="13"/>
      <c r="F3" s="13"/>
      <c r="G3" s="13"/>
      <c r="H3" s="13"/>
      <c r="I3" s="13"/>
      <c r="J3" s="13"/>
    </row>
    <row r="4" spans="1:11" ht="17">
      <c r="A4" s="27"/>
      <c r="B4" s="13"/>
      <c r="C4" s="13"/>
      <c r="D4" s="13"/>
      <c r="E4" s="13"/>
      <c r="F4" s="13"/>
      <c r="G4" s="13"/>
      <c r="H4" s="13"/>
      <c r="I4" s="13"/>
      <c r="J4" s="13"/>
    </row>
    <row r="5" spans="1:11" ht="17.5" thickBot="1">
      <c r="A5" s="13"/>
      <c r="B5" s="13"/>
      <c r="C5" s="13"/>
      <c r="D5" s="13"/>
      <c r="E5" s="13"/>
      <c r="F5" s="13"/>
      <c r="G5" s="28"/>
      <c r="H5" s="13"/>
      <c r="I5" s="13"/>
      <c r="J5" s="13"/>
    </row>
    <row r="6" spans="1:11" ht="21.5" thickBot="1">
      <c r="A6" s="275" t="str">
        <f>+'S&amp;D'!A12</f>
        <v>Electric Utilities</v>
      </c>
      <c r="B6" s="203"/>
      <c r="C6" s="13"/>
      <c r="D6" s="30"/>
      <c r="E6" s="30"/>
      <c r="F6" s="31" t="s">
        <v>0</v>
      </c>
      <c r="G6" s="13"/>
      <c r="H6" s="13"/>
      <c r="I6" s="13"/>
      <c r="J6" s="13"/>
    </row>
    <row r="7" spans="1:11" ht="25.5">
      <c r="A7" s="32"/>
      <c r="B7" s="13"/>
      <c r="C7" s="13"/>
      <c r="D7" s="13"/>
      <c r="E7" s="33" t="s">
        <v>206</v>
      </c>
      <c r="F7" s="13"/>
      <c r="G7" s="13"/>
      <c r="H7" s="13"/>
      <c r="I7" s="13"/>
      <c r="J7" s="13"/>
    </row>
    <row r="8" spans="1:11" ht="21.5" thickBot="1">
      <c r="A8" s="32"/>
      <c r="B8" s="13"/>
      <c r="C8" s="13"/>
      <c r="D8" s="30"/>
      <c r="E8" s="34" t="s">
        <v>484</v>
      </c>
      <c r="F8" s="30"/>
      <c r="G8" s="13"/>
      <c r="H8" s="13"/>
      <c r="I8" s="13"/>
      <c r="J8" s="13"/>
    </row>
    <row r="9" spans="1:11" ht="17.5" thickBot="1">
      <c r="A9" s="35" t="s">
        <v>0</v>
      </c>
      <c r="B9" s="35" t="s">
        <v>0</v>
      </c>
      <c r="C9" s="35" t="s">
        <v>0</v>
      </c>
      <c r="D9" s="35" t="s">
        <v>0</v>
      </c>
      <c r="E9" s="35" t="s">
        <v>0</v>
      </c>
      <c r="F9" s="35"/>
      <c r="G9" s="30"/>
      <c r="H9" s="30"/>
      <c r="I9" s="30"/>
      <c r="J9" s="30"/>
      <c r="K9" s="155"/>
    </row>
    <row r="10" spans="1:11" ht="17">
      <c r="A10" s="36" t="s">
        <v>0</v>
      </c>
      <c r="B10" s="36" t="s">
        <v>3</v>
      </c>
      <c r="C10" s="36" t="s">
        <v>5</v>
      </c>
      <c r="D10" s="36" t="s">
        <v>201</v>
      </c>
      <c r="E10" s="36" t="s">
        <v>202</v>
      </c>
      <c r="F10" s="36" t="s">
        <v>204</v>
      </c>
      <c r="G10" s="36" t="s">
        <v>202</v>
      </c>
      <c r="H10" s="36" t="s">
        <v>204</v>
      </c>
      <c r="I10" s="36" t="s">
        <v>202</v>
      </c>
      <c r="J10" s="36" t="s">
        <v>204</v>
      </c>
      <c r="K10" s="36" t="s">
        <v>317</v>
      </c>
    </row>
    <row r="11" spans="1:11" ht="17">
      <c r="A11" s="36"/>
      <c r="B11" s="36" t="s">
        <v>4</v>
      </c>
      <c r="C11" s="36" t="s">
        <v>6</v>
      </c>
      <c r="D11" s="36" t="s">
        <v>28</v>
      </c>
      <c r="E11" s="36" t="s">
        <v>203</v>
      </c>
      <c r="F11" s="36" t="s">
        <v>154</v>
      </c>
      <c r="G11" s="36" t="s">
        <v>203</v>
      </c>
      <c r="H11" s="36" t="s">
        <v>154</v>
      </c>
      <c r="I11" s="36" t="s">
        <v>203</v>
      </c>
      <c r="J11" s="36" t="s">
        <v>154</v>
      </c>
      <c r="K11" s="36" t="s">
        <v>219</v>
      </c>
    </row>
    <row r="12" spans="1:11" ht="17.5" thickBot="1">
      <c r="A12" s="38" t="s">
        <v>2</v>
      </c>
      <c r="B12" s="38" t="s">
        <v>0</v>
      </c>
      <c r="C12" s="38" t="s">
        <v>0</v>
      </c>
      <c r="D12" s="38" t="s">
        <v>0</v>
      </c>
      <c r="E12" s="38" t="s">
        <v>205</v>
      </c>
      <c r="F12" s="38" t="s">
        <v>205</v>
      </c>
      <c r="G12" s="38" t="s">
        <v>315</v>
      </c>
      <c r="H12" s="38" t="s">
        <v>315</v>
      </c>
      <c r="I12" s="38" t="s">
        <v>316</v>
      </c>
      <c r="J12" s="38" t="s">
        <v>316</v>
      </c>
      <c r="K12" s="238" t="s">
        <v>318</v>
      </c>
    </row>
    <row r="13" spans="1:11" ht="15">
      <c r="A13" s="40" t="s">
        <v>7</v>
      </c>
      <c r="B13" s="40" t="s">
        <v>7</v>
      </c>
      <c r="C13" s="40" t="s">
        <v>7</v>
      </c>
      <c r="D13" s="41" t="s">
        <v>147</v>
      </c>
      <c r="E13" s="40" t="s">
        <v>7</v>
      </c>
      <c r="F13" s="40" t="s">
        <v>0</v>
      </c>
      <c r="G13" s="40" t="s">
        <v>7</v>
      </c>
      <c r="H13" s="40" t="s">
        <v>0</v>
      </c>
      <c r="I13" s="40" t="s">
        <v>7</v>
      </c>
      <c r="J13" s="40" t="s">
        <v>0</v>
      </c>
      <c r="K13" s="40" t="s">
        <v>0</v>
      </c>
    </row>
    <row r="14" spans="1:11" ht="17">
      <c r="A14" s="36"/>
      <c r="B14" s="36"/>
      <c r="C14" s="36"/>
      <c r="D14" s="36"/>
      <c r="E14" s="36"/>
      <c r="F14" s="36"/>
      <c r="G14" s="13"/>
      <c r="H14" s="13"/>
      <c r="I14" s="13"/>
      <c r="J14" s="13"/>
      <c r="K14" s="13"/>
    </row>
    <row r="15" spans="1:11" ht="17">
      <c r="A15" s="13"/>
      <c r="B15" s="13"/>
      <c r="C15" s="13"/>
      <c r="D15" s="13"/>
      <c r="E15" s="13"/>
      <c r="F15" s="13"/>
      <c r="G15" s="13"/>
      <c r="H15" s="13"/>
      <c r="I15" s="13"/>
      <c r="J15" s="13"/>
      <c r="K15" s="13"/>
    </row>
    <row r="16" spans="1:11" ht="17.5">
      <c r="A16" s="65" t="str">
        <f>+'S&amp;D'!A22</f>
        <v>ALLETE Inc</v>
      </c>
      <c r="B16" s="93" t="str">
        <f>+'S&amp;D'!B22</f>
        <v>ALE</v>
      </c>
      <c r="C16" s="93" t="str">
        <f>+'S&amp;D'!C22</f>
        <v>Electric Utility - Cent</v>
      </c>
      <c r="D16" s="62">
        <f>+'S&amp;D'!G22</f>
        <v>61.16</v>
      </c>
      <c r="E16" s="64">
        <v>2.82</v>
      </c>
      <c r="F16" s="68">
        <f>+E16/D16</f>
        <v>4.6108567691301505E-2</v>
      </c>
      <c r="G16" s="64">
        <v>2.93</v>
      </c>
      <c r="H16" s="68">
        <f>+G16/D16</f>
        <v>4.7907128842380645E-2</v>
      </c>
      <c r="I16" s="64">
        <v>3.25</v>
      </c>
      <c r="J16" s="68">
        <f>+I16/D16</f>
        <v>5.313930673642904E-2</v>
      </c>
      <c r="K16" s="237">
        <f>RATE(3,,-G16,I16)</f>
        <v>3.5154672696596563E-2</v>
      </c>
    </row>
    <row r="17" spans="1:11" ht="17.5">
      <c r="A17" s="65" t="str">
        <f>+'S&amp;D'!A23</f>
        <v>Alliant Energy</v>
      </c>
      <c r="B17" s="93" t="str">
        <f>+'S&amp;D'!B23</f>
        <v>LNT</v>
      </c>
      <c r="C17" s="93" t="str">
        <f>+'S&amp;D'!C23</f>
        <v>Electric Utility - Cent</v>
      </c>
      <c r="D17" s="62">
        <f>+'S&amp;D'!G23</f>
        <v>51.3</v>
      </c>
      <c r="E17" s="64">
        <v>1.92</v>
      </c>
      <c r="F17" s="68">
        <f t="shared" ref="F17:F31" si="0">+E17/D17</f>
        <v>3.7426900584795322E-2</v>
      </c>
      <c r="G17" s="64">
        <v>2.04</v>
      </c>
      <c r="H17" s="68">
        <f t="shared" ref="H17:H31" si="1">+G17/D17</f>
        <v>3.9766081871345033E-2</v>
      </c>
      <c r="I17" s="64">
        <v>2.4300000000000002</v>
      </c>
      <c r="J17" s="68">
        <f t="shared" ref="J17:J31" si="2">+I17/D17</f>
        <v>4.7368421052631587E-2</v>
      </c>
      <c r="K17" s="237">
        <f>RATE(3,,-G17,I17)</f>
        <v>6.0047603950174985E-2</v>
      </c>
    </row>
    <row r="18" spans="1:11" ht="17.5">
      <c r="A18" s="65" t="str">
        <f>+'S&amp;D'!A24</f>
        <v>AMEREN Corporation</v>
      </c>
      <c r="B18" s="93" t="str">
        <f>+'S&amp;D'!B24</f>
        <v>AEE</v>
      </c>
      <c r="C18" s="93" t="str">
        <f>+'S&amp;D'!C24</f>
        <v>Electric Utility - Cent</v>
      </c>
      <c r="D18" s="62">
        <f>+'S&amp;D'!G24</f>
        <v>72.34</v>
      </c>
      <c r="E18" s="64">
        <v>2.68</v>
      </c>
      <c r="F18" s="68">
        <f t="shared" si="0"/>
        <v>3.7047276748686755E-2</v>
      </c>
      <c r="G18" s="64">
        <v>2.86</v>
      </c>
      <c r="H18" s="68">
        <f t="shared" si="1"/>
        <v>3.9535526679568701E-2</v>
      </c>
      <c r="I18" s="64">
        <v>3.3</v>
      </c>
      <c r="J18" s="68">
        <f t="shared" si="2"/>
        <v>4.5617915399502343E-2</v>
      </c>
      <c r="K18" s="313">
        <f t="shared" ref="K18:K31" si="3">RATE(3,,-G18,I18)</f>
        <v>4.885624628838698E-2</v>
      </c>
    </row>
    <row r="19" spans="1:11" ht="17.5">
      <c r="A19" s="65" t="str">
        <f>+'S&amp;D'!A25</f>
        <v>American Electric Power</v>
      </c>
      <c r="B19" s="93" t="str">
        <f>+'S&amp;D'!B25</f>
        <v>AEP</v>
      </c>
      <c r="C19" s="93" t="str">
        <f>+'S&amp;D'!C25</f>
        <v>Electric Utility - Cent</v>
      </c>
      <c r="D19" s="62">
        <f>+'S&amp;D'!G25</f>
        <v>81.22</v>
      </c>
      <c r="E19" s="64">
        <v>3.6</v>
      </c>
      <c r="F19" s="68">
        <f t="shared" si="0"/>
        <v>4.4324058113765087E-2</v>
      </c>
      <c r="G19" s="64">
        <v>3.81</v>
      </c>
      <c r="H19" s="68">
        <f t="shared" si="1"/>
        <v>4.6909628170401382E-2</v>
      </c>
      <c r="I19" s="64">
        <v>4.16</v>
      </c>
      <c r="J19" s="68">
        <f t="shared" si="2"/>
        <v>5.1218911598128546E-2</v>
      </c>
      <c r="K19" s="313">
        <f t="shared" si="3"/>
        <v>2.9728623343830734E-2</v>
      </c>
    </row>
    <row r="20" spans="1:11" ht="17.5">
      <c r="A20" s="65" t="str">
        <f>+'S&amp;D'!A26</f>
        <v>Centerpoint Energy</v>
      </c>
      <c r="B20" s="93" t="str">
        <f>+'S&amp;D'!B26</f>
        <v>CNP</v>
      </c>
      <c r="C20" s="93" t="str">
        <f>+'S&amp;D'!C26</f>
        <v>Electric Utility - Cent</v>
      </c>
      <c r="D20" s="62">
        <f>+'S&amp;D'!G26</f>
        <v>28.57</v>
      </c>
      <c r="E20" s="64">
        <v>0.83</v>
      </c>
      <c r="F20" s="68">
        <f t="shared" si="0"/>
        <v>2.905145257262863E-2</v>
      </c>
      <c r="G20" s="64">
        <v>0.89</v>
      </c>
      <c r="H20" s="68">
        <f t="shared" si="1"/>
        <v>3.1151557577878894E-2</v>
      </c>
      <c r="I20" s="64">
        <v>0.95</v>
      </c>
      <c r="J20" s="68">
        <f t="shared" si="2"/>
        <v>3.3251662583129157E-2</v>
      </c>
      <c r="K20" s="313">
        <f t="shared" si="3"/>
        <v>2.1985026625486653E-2</v>
      </c>
    </row>
    <row r="21" spans="1:11" ht="17.5">
      <c r="A21" s="65" t="str">
        <f>+'S&amp;D'!A27</f>
        <v>CMS Energy</v>
      </c>
      <c r="B21" s="93" t="str">
        <f>+'S&amp;D'!B27</f>
        <v>CMS</v>
      </c>
      <c r="C21" s="93" t="str">
        <f>+'S&amp;D'!C27</f>
        <v>Electric Utility - Cent</v>
      </c>
      <c r="D21" s="62">
        <f>+'S&amp;D'!G27</f>
        <v>58.07</v>
      </c>
      <c r="E21" s="64">
        <v>2.06</v>
      </c>
      <c r="F21" s="68">
        <f t="shared" si="0"/>
        <v>3.5474427415188567E-2</v>
      </c>
      <c r="G21" s="64">
        <v>2.16</v>
      </c>
      <c r="H21" s="68">
        <f t="shared" si="1"/>
        <v>3.719648699845015E-2</v>
      </c>
      <c r="I21" s="64">
        <v>2.2999999999999998</v>
      </c>
      <c r="J21" s="68">
        <f t="shared" si="2"/>
        <v>3.9607370415016357E-2</v>
      </c>
      <c r="K21" s="313">
        <f t="shared" si="3"/>
        <v>2.1154279204738204E-2</v>
      </c>
    </row>
    <row r="22" spans="1:11" ht="17.5">
      <c r="A22" s="65" t="str">
        <f>+'S&amp;D'!A28</f>
        <v>DTE Energy</v>
      </c>
      <c r="B22" s="93" t="str">
        <f>+'S&amp;D'!B28</f>
        <v>DTE</v>
      </c>
      <c r="C22" s="93" t="str">
        <f>+'S&amp;D'!C28</f>
        <v>Electric Utility - Cent</v>
      </c>
      <c r="D22" s="62">
        <f>+'S&amp;D'!G28</f>
        <v>110.26</v>
      </c>
      <c r="E22" s="64">
        <v>4.08</v>
      </c>
      <c r="F22" s="68">
        <f t="shared" si="0"/>
        <v>3.7003446399419555E-2</v>
      </c>
      <c r="G22" s="64">
        <v>4.34</v>
      </c>
      <c r="H22" s="68">
        <f t="shared" si="1"/>
        <v>3.9361509160166876E-2</v>
      </c>
      <c r="I22" s="64">
        <v>4.83</v>
      </c>
      <c r="J22" s="68">
        <f t="shared" si="2"/>
        <v>4.3805550516959911E-2</v>
      </c>
      <c r="K22" s="313">
        <f t="shared" si="3"/>
        <v>3.6300721240202047E-2</v>
      </c>
    </row>
    <row r="23" spans="1:11" ht="17.5">
      <c r="A23" s="65" t="str">
        <f>+'S&amp;D'!A29</f>
        <v>Duke Energy</v>
      </c>
      <c r="B23" s="93" t="str">
        <f>+'S&amp;D'!B29</f>
        <v>DUK</v>
      </c>
      <c r="C23" s="93" t="str">
        <f>+'S&amp;D'!C29</f>
        <v>Electric Utility - East</v>
      </c>
      <c r="D23" s="62">
        <f>+'S&amp;D'!G29</f>
        <v>97.04</v>
      </c>
      <c r="E23" s="64">
        <v>4.1399999999999997</v>
      </c>
      <c r="F23" s="68">
        <f t="shared" si="0"/>
        <v>4.2662819455894473E-2</v>
      </c>
      <c r="G23" s="64">
        <v>4.22</v>
      </c>
      <c r="H23" s="68">
        <f t="shared" si="1"/>
        <v>4.3487221764220936E-2</v>
      </c>
      <c r="I23" s="64">
        <v>4.3</v>
      </c>
      <c r="J23" s="68">
        <f t="shared" si="2"/>
        <v>4.4311624072547399E-2</v>
      </c>
      <c r="K23" s="313">
        <f t="shared" si="3"/>
        <v>6.2795994131647909E-3</v>
      </c>
    </row>
    <row r="24" spans="1:11" ht="17.5">
      <c r="A24" s="65" t="str">
        <f>+'S&amp;D'!A30</f>
        <v>Entergy Corp</v>
      </c>
      <c r="B24" s="93" t="str">
        <f>+'S&amp;D'!B30</f>
        <v>ETR</v>
      </c>
      <c r="C24" s="93" t="str">
        <f>+'S&amp;D'!C30</f>
        <v>Electric Utility - Cent</v>
      </c>
      <c r="D24" s="62">
        <f>+'S&amp;D'!G30</f>
        <v>101.19</v>
      </c>
      <c r="E24" s="64">
        <v>4.5599999999999996</v>
      </c>
      <c r="F24" s="68">
        <f t="shared" si="0"/>
        <v>4.5063741476430476E-2</v>
      </c>
      <c r="G24" s="64">
        <v>4.7</v>
      </c>
      <c r="H24" s="68">
        <f t="shared" si="1"/>
        <v>4.644727739895247E-2</v>
      </c>
      <c r="I24" s="64">
        <v>5</v>
      </c>
      <c r="J24" s="68">
        <f t="shared" si="2"/>
        <v>4.9411997232928155E-2</v>
      </c>
      <c r="K24" s="313">
        <f t="shared" si="3"/>
        <v>2.0839302540955146E-2</v>
      </c>
    </row>
    <row r="25" spans="1:11" ht="17.5">
      <c r="A25" s="65" t="str">
        <f>+'S&amp;D'!A31</f>
        <v>Evergy Inc</v>
      </c>
      <c r="B25" s="93" t="str">
        <f>+'S&amp;D'!B31</f>
        <v>EVRG</v>
      </c>
      <c r="C25" s="93" t="str">
        <f>+'S&amp;D'!C31</f>
        <v>Electric Utility - Cent</v>
      </c>
      <c r="D25" s="62">
        <f>+'S&amp;D'!G31</f>
        <v>52.2</v>
      </c>
      <c r="E25" s="64">
        <v>2.61</v>
      </c>
      <c r="F25" s="68">
        <f t="shared" si="0"/>
        <v>4.9999999999999996E-2</v>
      </c>
      <c r="G25" s="64">
        <v>2.74</v>
      </c>
      <c r="H25" s="68">
        <f t="shared" si="1"/>
        <v>5.2490421455938699E-2</v>
      </c>
      <c r="I25" s="64">
        <v>3.05</v>
      </c>
      <c r="J25" s="68">
        <f t="shared" si="2"/>
        <v>5.8429118773946354E-2</v>
      </c>
      <c r="K25" s="313">
        <f t="shared" si="3"/>
        <v>3.6373800519823668E-2</v>
      </c>
    </row>
    <row r="26" spans="1:11" ht="17.5">
      <c r="A26" s="65" t="str">
        <f>+'S&amp;D'!A32</f>
        <v>FirstEnergy Corp</v>
      </c>
      <c r="B26" s="93" t="str">
        <f>+'S&amp;D'!B32</f>
        <v>FE</v>
      </c>
      <c r="C26" s="93" t="str">
        <f>+'S&amp;D'!C32</f>
        <v>Electric Utility - East</v>
      </c>
      <c r="D26" s="62">
        <f>+'S&amp;D'!G32</f>
        <v>36.659999999999997</v>
      </c>
      <c r="E26" s="64">
        <v>1.68</v>
      </c>
      <c r="F26" s="68">
        <f t="shared" si="0"/>
        <v>4.5826513911620299E-2</v>
      </c>
      <c r="G26" s="64">
        <v>1.76</v>
      </c>
      <c r="H26" s="68">
        <f t="shared" si="1"/>
        <v>4.8008728859792696E-2</v>
      </c>
      <c r="I26" s="64">
        <v>2.1</v>
      </c>
      <c r="J26" s="68">
        <f t="shared" si="2"/>
        <v>5.7283142389525379E-2</v>
      </c>
      <c r="K26" s="313">
        <f t="shared" si="3"/>
        <v>6.06421344187014E-2</v>
      </c>
    </row>
    <row r="27" spans="1:11" ht="17.5">
      <c r="A27" s="65" t="str">
        <f>+'S&amp;D'!A33</f>
        <v>OGE Energy Corp.</v>
      </c>
      <c r="B27" s="93" t="str">
        <f>+'S&amp;D'!B33</f>
        <v>OGE</v>
      </c>
      <c r="C27" s="93" t="str">
        <f>+'S&amp;D'!C33</f>
        <v>Electric Utility - Cent</v>
      </c>
      <c r="D27" s="62">
        <f>+'S&amp;D'!G33</f>
        <v>34.93</v>
      </c>
      <c r="E27" s="64">
        <v>1.69</v>
      </c>
      <c r="F27" s="68">
        <f t="shared" si="0"/>
        <v>4.8382479244202692E-2</v>
      </c>
      <c r="G27" s="64">
        <v>1.73</v>
      </c>
      <c r="H27" s="68">
        <f t="shared" si="1"/>
        <v>4.9527626681935298E-2</v>
      </c>
      <c r="I27" s="64">
        <v>1.85</v>
      </c>
      <c r="J27" s="68">
        <f t="shared" si="2"/>
        <v>5.2963068995133124E-2</v>
      </c>
      <c r="K27" s="313">
        <f t="shared" si="3"/>
        <v>2.2606483164545416E-2</v>
      </c>
    </row>
    <row r="28" spans="1:11" ht="17.5">
      <c r="A28" s="65" t="str">
        <f>+'S&amp;D'!A34</f>
        <v>Otter Tail Corp</v>
      </c>
      <c r="B28" s="93" t="str">
        <f>+'S&amp;D'!B34</f>
        <v>OTTR</v>
      </c>
      <c r="C28" s="93" t="str">
        <f>+'S&amp;D'!C34</f>
        <v>Electric Utility - Cent</v>
      </c>
      <c r="D28" s="62">
        <f>+'S&amp;D'!G34</f>
        <v>84.97</v>
      </c>
      <c r="E28" s="64">
        <v>1.87</v>
      </c>
      <c r="F28" s="68">
        <f t="shared" si="0"/>
        <v>2.2007767447334355E-2</v>
      </c>
      <c r="G28" s="64">
        <v>1.97</v>
      </c>
      <c r="H28" s="68">
        <f t="shared" si="1"/>
        <v>2.3184653407084855E-2</v>
      </c>
      <c r="I28" s="64">
        <v>2.2000000000000002</v>
      </c>
      <c r="J28" s="68">
        <f t="shared" si="2"/>
        <v>2.5891491114511007E-2</v>
      </c>
      <c r="K28" s="313">
        <f t="shared" si="3"/>
        <v>3.7493739829039217E-2</v>
      </c>
    </row>
    <row r="29" spans="1:11" ht="17.5">
      <c r="A29" s="65" t="str">
        <f>+'S&amp;D'!A35</f>
        <v>PPL Corporation</v>
      </c>
      <c r="B29" s="93" t="str">
        <f>+'S&amp;D'!B35</f>
        <v>PPL</v>
      </c>
      <c r="C29" s="93" t="str">
        <f>+'S&amp;D'!C35</f>
        <v>Electric Utility - East</v>
      </c>
      <c r="D29" s="62">
        <f>+'S&amp;D'!G35</f>
        <v>27.1</v>
      </c>
      <c r="E29" s="64">
        <v>1.03</v>
      </c>
      <c r="F29" s="68">
        <f t="shared" si="0"/>
        <v>3.8007380073800737E-2</v>
      </c>
      <c r="G29" s="64">
        <v>1.1000000000000001</v>
      </c>
      <c r="H29" s="68">
        <f t="shared" si="1"/>
        <v>4.0590405904059039E-2</v>
      </c>
      <c r="I29" s="64">
        <v>1.35</v>
      </c>
      <c r="J29" s="68">
        <f t="shared" si="2"/>
        <v>4.9815498154981548E-2</v>
      </c>
      <c r="K29" s="313">
        <f t="shared" si="3"/>
        <v>7.0648783255760225E-2</v>
      </c>
    </row>
    <row r="30" spans="1:11" ht="17.5">
      <c r="A30" s="65" t="str">
        <f>+'S&amp;D'!A36</f>
        <v>The Southern Company</v>
      </c>
      <c r="B30" s="93" t="str">
        <f>+'S&amp;D'!B36</f>
        <v>SO</v>
      </c>
      <c r="C30" s="93" t="str">
        <f>+'S&amp;D'!C36</f>
        <v>Electric Utility - East</v>
      </c>
      <c r="D30" s="62">
        <f>+'S&amp;D'!G36</f>
        <v>70.12</v>
      </c>
      <c r="E30" s="64">
        <v>2.86</v>
      </c>
      <c r="F30" s="68">
        <f t="shared" si="0"/>
        <v>4.0787221905305183E-2</v>
      </c>
      <c r="G30" s="64">
        <v>2.94</v>
      </c>
      <c r="H30" s="68">
        <f t="shared" si="1"/>
        <v>4.1928123217341698E-2</v>
      </c>
      <c r="I30" s="64">
        <v>3.1</v>
      </c>
      <c r="J30" s="68">
        <f t="shared" si="2"/>
        <v>4.4209925841414713E-2</v>
      </c>
      <c r="K30" s="237">
        <f t="shared" si="3"/>
        <v>1.7821110959275945E-2</v>
      </c>
    </row>
    <row r="31" spans="1:11" ht="17.5">
      <c r="A31" s="65" t="str">
        <f>+'S&amp;D'!A37</f>
        <v>WEC Energy Group</v>
      </c>
      <c r="B31" s="93" t="str">
        <f>+'S&amp;D'!B37</f>
        <v>WEC</v>
      </c>
      <c r="C31" s="93" t="str">
        <f>+'S&amp;D'!C37</f>
        <v>Electric Utility - Cent</v>
      </c>
      <c r="D31" s="62">
        <f>+'S&amp;D'!G37</f>
        <v>84.17</v>
      </c>
      <c r="E31" s="64">
        <v>3.34</v>
      </c>
      <c r="F31" s="68">
        <f t="shared" si="0"/>
        <v>3.9681596768444814E-2</v>
      </c>
      <c r="G31" s="64">
        <v>3.57</v>
      </c>
      <c r="H31" s="68">
        <f t="shared" si="1"/>
        <v>4.2414161815373642E-2</v>
      </c>
      <c r="I31" s="64">
        <v>3.83</v>
      </c>
      <c r="J31" s="68">
        <f t="shared" si="2"/>
        <v>4.5503148390162763E-2</v>
      </c>
      <c r="K31" s="237">
        <f t="shared" si="3"/>
        <v>2.3709780671110185E-2</v>
      </c>
    </row>
    <row r="32" spans="1:11" ht="17.5" thickBot="1">
      <c r="A32" s="13"/>
      <c r="B32" s="13"/>
      <c r="C32" s="45"/>
      <c r="D32" s="48"/>
      <c r="E32" s="48"/>
      <c r="F32" s="48"/>
      <c r="G32" s="48"/>
      <c r="H32" s="48"/>
      <c r="I32" s="48"/>
      <c r="J32" s="48"/>
      <c r="K32" s="48"/>
    </row>
    <row r="33" spans="1:11" ht="17.5" thickTop="1">
      <c r="A33" s="13"/>
      <c r="B33" s="13"/>
      <c r="D33" s="15" t="s">
        <v>65</v>
      </c>
      <c r="E33" s="17">
        <f>MAX(E16:E31)</f>
        <v>4.5599999999999996</v>
      </c>
      <c r="F33" s="311">
        <f t="shared" ref="F33:K33" si="4">MAX(F16:F31)</f>
        <v>4.9999999999999996E-2</v>
      </c>
      <c r="G33" s="17">
        <f t="shared" si="4"/>
        <v>4.7</v>
      </c>
      <c r="H33" s="311">
        <f t="shared" si="4"/>
        <v>5.2490421455938699E-2</v>
      </c>
      <c r="I33" s="17">
        <f t="shared" si="4"/>
        <v>5</v>
      </c>
      <c r="J33" s="311">
        <f t="shared" si="4"/>
        <v>5.8429118773946354E-2</v>
      </c>
      <c r="K33" s="311">
        <f t="shared" si="4"/>
        <v>7.0648783255760225E-2</v>
      </c>
    </row>
    <row r="34" spans="1:11" ht="17">
      <c r="A34" s="13"/>
      <c r="B34" s="13"/>
      <c r="D34" s="15" t="s">
        <v>66</v>
      </c>
      <c r="E34" s="315">
        <f>MIN(E16:E31)</f>
        <v>0.83</v>
      </c>
      <c r="F34" s="312">
        <f t="shared" ref="F34:K34" si="5">MIN(F16:F31)</f>
        <v>2.2007767447334355E-2</v>
      </c>
      <c r="G34" s="315">
        <f t="shared" si="5"/>
        <v>0.89</v>
      </c>
      <c r="H34" s="312">
        <f t="shared" si="5"/>
        <v>2.3184653407084855E-2</v>
      </c>
      <c r="I34" s="315">
        <f t="shared" si="5"/>
        <v>0.95</v>
      </c>
      <c r="J34" s="312">
        <f t="shared" si="5"/>
        <v>2.5891491114511007E-2</v>
      </c>
      <c r="K34" s="312">
        <f t="shared" si="5"/>
        <v>6.2795994131647909E-3</v>
      </c>
    </row>
    <row r="35" spans="1:11" ht="17">
      <c r="A35" s="13"/>
      <c r="B35" s="13"/>
      <c r="D35" s="15" t="s">
        <v>18</v>
      </c>
      <c r="E35" s="18">
        <f t="shared" ref="E35:K35" si="6">MEDIAN(E16:E31)</f>
        <v>2.645</v>
      </c>
      <c r="F35" s="57">
        <f t="shared" si="6"/>
        <v>4.0234409336874999E-2</v>
      </c>
      <c r="G35" s="18">
        <f t="shared" si="6"/>
        <v>2.8</v>
      </c>
      <c r="H35" s="57">
        <f t="shared" si="6"/>
        <v>4.2171142516357674E-2</v>
      </c>
      <c r="I35" s="18">
        <f t="shared" si="6"/>
        <v>3.0750000000000002</v>
      </c>
      <c r="J35" s="57">
        <f t="shared" si="6"/>
        <v>4.6493168226066965E-2</v>
      </c>
      <c r="K35" s="57">
        <f t="shared" si="6"/>
        <v>3.2441648020213647E-2</v>
      </c>
    </row>
    <row r="36" spans="1:11" ht="17">
      <c r="A36" s="13"/>
      <c r="B36" s="13"/>
      <c r="D36" s="15" t="s">
        <v>441</v>
      </c>
      <c r="E36" s="22">
        <f t="shared" ref="E36:K36" si="7">AVERAGE(E16:E31)</f>
        <v>2.6106249999999998</v>
      </c>
      <c r="F36" s="59">
        <f t="shared" si="7"/>
        <v>3.9928478113051155E-2</v>
      </c>
      <c r="G36" s="22">
        <f t="shared" si="7"/>
        <v>2.7349999999999994</v>
      </c>
      <c r="H36" s="59">
        <f t="shared" si="7"/>
        <v>4.1869158737805688E-2</v>
      </c>
      <c r="I36" s="22">
        <f t="shared" si="7"/>
        <v>3.0000000000000004</v>
      </c>
      <c r="J36" s="59">
        <f t="shared" si="7"/>
        <v>4.6364259579184212E-2</v>
      </c>
      <c r="K36" s="59">
        <f t="shared" si="7"/>
        <v>3.4352619257612009E-2</v>
      </c>
    </row>
    <row r="37" spans="1:11" ht="17">
      <c r="A37" s="13"/>
      <c r="B37" s="13"/>
      <c r="C37" s="13"/>
      <c r="D37" s="13"/>
      <c r="E37" s="13"/>
      <c r="F37" s="13"/>
      <c r="G37" s="13"/>
      <c r="H37" s="13"/>
      <c r="I37" s="13"/>
      <c r="J37" s="13"/>
      <c r="K37" s="13"/>
    </row>
    <row r="38" spans="1:11" ht="25.5">
      <c r="A38" s="13"/>
      <c r="B38" s="13"/>
      <c r="C38" s="13"/>
      <c r="D38" s="13"/>
      <c r="E38" s="13"/>
      <c r="F38" s="51" t="s">
        <v>0</v>
      </c>
      <c r="G38" s="66" t="s">
        <v>0</v>
      </c>
      <c r="H38" s="13"/>
      <c r="I38" s="13"/>
      <c r="J38" s="13"/>
      <c r="K38" s="13"/>
    </row>
    <row r="39" spans="1:11" ht="18.5">
      <c r="A39" s="239" t="s">
        <v>319</v>
      </c>
    </row>
  </sheetData>
  <pageMargins left="0.25" right="0.25" top="0.75" bottom="0.75" header="0.3" footer="0.3"/>
  <pageSetup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39"/>
  <sheetViews>
    <sheetView view="pageBreakPreview" topLeftCell="A5" zoomScale="60" zoomScaleNormal="80" workbookViewId="0">
      <selection activeCell="I38" sqref="I38"/>
    </sheetView>
  </sheetViews>
  <sheetFormatPr defaultRowHeight="14.5"/>
  <cols>
    <col min="1" max="1" width="51.54296875" customWidth="1"/>
    <col min="2" max="2" width="10.81640625" bestFit="1" customWidth="1"/>
    <col min="3" max="3" width="23.7265625"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5" t="s">
        <v>1</v>
      </c>
      <c r="B1" s="13"/>
      <c r="C1" s="13"/>
      <c r="D1" s="13"/>
      <c r="E1" s="13"/>
      <c r="F1" s="13"/>
      <c r="G1" s="13"/>
      <c r="H1" s="13"/>
      <c r="I1" s="13"/>
      <c r="J1" s="13"/>
    </row>
    <row r="2" spans="1:11" ht="17.5">
      <c r="A2" s="26" t="s">
        <v>9</v>
      </c>
      <c r="B2" s="13"/>
      <c r="C2" s="13"/>
      <c r="D2" s="13"/>
      <c r="E2" s="13"/>
      <c r="F2" s="13"/>
      <c r="G2" s="13"/>
      <c r="H2" s="13"/>
      <c r="I2" s="13"/>
      <c r="J2" s="13"/>
    </row>
    <row r="3" spans="1:11" ht="17">
      <c r="A3" s="27" t="s">
        <v>483</v>
      </c>
      <c r="B3" s="13"/>
      <c r="C3" s="13"/>
      <c r="D3" s="13"/>
      <c r="E3" s="13"/>
      <c r="F3" s="13"/>
      <c r="G3" s="13"/>
      <c r="H3" s="13"/>
      <c r="I3" s="13"/>
      <c r="J3" s="13"/>
    </row>
    <row r="4" spans="1:11" ht="17">
      <c r="A4" s="27"/>
      <c r="B4" s="13"/>
      <c r="C4" s="13"/>
      <c r="D4" s="13"/>
      <c r="E4" s="13"/>
      <c r="F4" s="13"/>
      <c r="G4" s="13"/>
      <c r="H4" s="13"/>
      <c r="I4" s="13"/>
      <c r="J4" s="13"/>
    </row>
    <row r="5" spans="1:11" ht="17.5" thickBot="1">
      <c r="A5" s="13"/>
      <c r="B5" s="13"/>
      <c r="C5" s="13"/>
      <c r="D5" s="13"/>
      <c r="E5" s="13"/>
      <c r="F5" s="13"/>
      <c r="G5" s="28"/>
      <c r="H5" s="13"/>
      <c r="I5" s="13"/>
      <c r="J5" s="13"/>
    </row>
    <row r="6" spans="1:11" ht="21.5" thickBot="1">
      <c r="A6" s="275" t="str">
        <f>+'S&amp;D'!A12</f>
        <v>Electric Utilities</v>
      </c>
      <c r="B6" s="203"/>
      <c r="C6" s="13"/>
      <c r="D6" s="30"/>
      <c r="E6" s="30"/>
      <c r="F6" s="31" t="s">
        <v>0</v>
      </c>
      <c r="G6" s="13"/>
      <c r="H6" s="13"/>
      <c r="I6" s="13"/>
      <c r="J6" s="13"/>
    </row>
    <row r="7" spans="1:11" ht="25.5">
      <c r="A7" s="32"/>
      <c r="B7" s="13"/>
      <c r="C7" s="13"/>
      <c r="D7" s="13"/>
      <c r="E7" s="33" t="s">
        <v>320</v>
      </c>
      <c r="F7" s="13"/>
      <c r="G7" s="13"/>
      <c r="H7" s="13"/>
      <c r="I7" s="13"/>
      <c r="J7" s="13"/>
    </row>
    <row r="8" spans="1:11" ht="21.5" thickBot="1">
      <c r="A8" s="32"/>
      <c r="B8" s="13"/>
      <c r="C8" s="13"/>
      <c r="D8" s="30"/>
      <c r="E8" s="34" t="s">
        <v>484</v>
      </c>
      <c r="F8" s="30"/>
      <c r="G8" s="13"/>
      <c r="H8" s="13"/>
      <c r="I8" s="13"/>
      <c r="J8" s="13"/>
    </row>
    <row r="9" spans="1:11" ht="17.5" thickBot="1">
      <c r="A9" s="35" t="s">
        <v>0</v>
      </c>
      <c r="B9" s="35" t="s">
        <v>0</v>
      </c>
      <c r="C9" s="35" t="s">
        <v>0</v>
      </c>
      <c r="D9" s="35" t="s">
        <v>0</v>
      </c>
      <c r="E9" s="35" t="s">
        <v>0</v>
      </c>
      <c r="F9" s="35"/>
      <c r="G9" s="30"/>
      <c r="H9" s="30"/>
      <c r="I9" s="30"/>
      <c r="J9" s="30"/>
      <c r="K9" s="155"/>
    </row>
    <row r="10" spans="1:11" ht="17">
      <c r="A10" s="36" t="s">
        <v>0</v>
      </c>
      <c r="B10" s="36" t="s">
        <v>3</v>
      </c>
      <c r="C10" s="36" t="s">
        <v>5</v>
      </c>
      <c r="D10" s="36" t="s">
        <v>201</v>
      </c>
      <c r="E10" s="36" t="s">
        <v>208</v>
      </c>
      <c r="F10" s="36" t="s">
        <v>208</v>
      </c>
      <c r="G10" s="36" t="s">
        <v>208</v>
      </c>
      <c r="H10" s="36" t="s">
        <v>208</v>
      </c>
      <c r="I10" s="36" t="s">
        <v>208</v>
      </c>
      <c r="J10" s="36" t="s">
        <v>208</v>
      </c>
      <c r="K10" s="36" t="s">
        <v>317</v>
      </c>
    </row>
    <row r="11" spans="1:11" ht="17">
      <c r="A11" s="36"/>
      <c r="B11" s="36" t="s">
        <v>4</v>
      </c>
      <c r="C11" s="36" t="s">
        <v>6</v>
      </c>
      <c r="D11" s="36" t="s">
        <v>28</v>
      </c>
      <c r="E11" s="36" t="s">
        <v>203</v>
      </c>
      <c r="F11" s="36" t="s">
        <v>154</v>
      </c>
      <c r="G11" s="36" t="s">
        <v>203</v>
      </c>
      <c r="H11" s="36" t="s">
        <v>154</v>
      </c>
      <c r="I11" s="36" t="s">
        <v>203</v>
      </c>
      <c r="J11" s="36" t="s">
        <v>154</v>
      </c>
      <c r="K11" s="36" t="s">
        <v>219</v>
      </c>
    </row>
    <row r="12" spans="1:11" ht="17.5" thickBot="1">
      <c r="A12" s="38" t="s">
        <v>2</v>
      </c>
      <c r="B12" s="38" t="s">
        <v>0</v>
      </c>
      <c r="C12" s="38" t="s">
        <v>0</v>
      </c>
      <c r="D12" s="38" t="s">
        <v>0</v>
      </c>
      <c r="E12" s="38" t="s">
        <v>205</v>
      </c>
      <c r="F12" s="38" t="s">
        <v>205</v>
      </c>
      <c r="G12" s="38" t="s">
        <v>315</v>
      </c>
      <c r="H12" s="38" t="s">
        <v>315</v>
      </c>
      <c r="I12" s="38" t="s">
        <v>316</v>
      </c>
      <c r="J12" s="38" t="s">
        <v>316</v>
      </c>
      <c r="K12" s="238" t="s">
        <v>318</v>
      </c>
    </row>
    <row r="13" spans="1:11" ht="15">
      <c r="A13" s="40" t="s">
        <v>7</v>
      </c>
      <c r="B13" s="40" t="s">
        <v>7</v>
      </c>
      <c r="C13" s="40" t="s">
        <v>7</v>
      </c>
      <c r="D13" s="41" t="s">
        <v>147</v>
      </c>
      <c r="E13" s="40" t="s">
        <v>7</v>
      </c>
      <c r="F13" s="40" t="s">
        <v>0</v>
      </c>
      <c r="G13" s="40" t="s">
        <v>7</v>
      </c>
      <c r="H13" s="40" t="s">
        <v>0</v>
      </c>
      <c r="I13" s="40" t="s">
        <v>7</v>
      </c>
      <c r="J13" s="40" t="s">
        <v>0</v>
      </c>
      <c r="K13" s="40" t="s">
        <v>0</v>
      </c>
    </row>
    <row r="14" spans="1:11" ht="17">
      <c r="A14" s="36"/>
      <c r="B14" s="36"/>
      <c r="C14" s="36"/>
      <c r="D14" s="36"/>
      <c r="E14" s="36"/>
      <c r="F14" s="36"/>
      <c r="G14" s="13"/>
      <c r="H14" s="13"/>
      <c r="I14" s="13"/>
      <c r="J14" s="13"/>
      <c r="K14" s="13"/>
    </row>
    <row r="15" spans="1:11" ht="17">
      <c r="A15" s="13"/>
      <c r="B15" s="13"/>
      <c r="C15" s="13"/>
      <c r="D15" s="13"/>
      <c r="E15" s="13"/>
      <c r="F15" s="13"/>
      <c r="G15" s="13"/>
      <c r="H15" s="13"/>
      <c r="I15" s="13"/>
      <c r="J15" s="13"/>
      <c r="K15" s="13"/>
    </row>
    <row r="16" spans="1:11" ht="17.5">
      <c r="A16" s="65" t="str">
        <f>+'S&amp;D'!A22</f>
        <v>ALLETE Inc</v>
      </c>
      <c r="B16" s="93" t="str">
        <f>+'S&amp;D'!B22</f>
        <v>ALE</v>
      </c>
      <c r="C16" s="93" t="str">
        <f>+'S&amp;D'!C22</f>
        <v>Electric Utility - Cent</v>
      </c>
      <c r="D16" s="62">
        <f>+'S&amp;D'!G22</f>
        <v>61.16</v>
      </c>
      <c r="E16" s="64">
        <v>3.9</v>
      </c>
      <c r="F16" s="68">
        <f>+E16/D16</f>
        <v>6.3767168083714854E-2</v>
      </c>
      <c r="G16" s="64">
        <v>4.25</v>
      </c>
      <c r="H16" s="68">
        <f>+G16/D16</f>
        <v>6.9489862655330289E-2</v>
      </c>
      <c r="I16" s="64">
        <v>5.15</v>
      </c>
      <c r="J16" s="68">
        <f>+I16/D16</f>
        <v>8.4205362982341408E-2</v>
      </c>
      <c r="K16" s="313">
        <f t="shared" ref="K16:K31" si="0">RATE(3,,-G16,I16)</f>
        <v>6.6120022192596675E-2</v>
      </c>
    </row>
    <row r="17" spans="1:11" ht="17.5">
      <c r="A17" s="65" t="str">
        <f>+'S&amp;D'!A23</f>
        <v>Alliant Energy</v>
      </c>
      <c r="B17" s="93" t="str">
        <f>+'S&amp;D'!B23</f>
        <v>LNT</v>
      </c>
      <c r="C17" s="93" t="str">
        <f>+'S&amp;D'!C23</f>
        <v>Electric Utility - Cent</v>
      </c>
      <c r="D17" s="62">
        <f>+'S&amp;D'!G23</f>
        <v>51.3</v>
      </c>
      <c r="E17" s="64">
        <v>3.05</v>
      </c>
      <c r="F17" s="68">
        <f t="shared" ref="F17:F31" si="1">+E17/D17</f>
        <v>5.9454191033138398E-2</v>
      </c>
      <c r="G17" s="64">
        <v>3.25</v>
      </c>
      <c r="H17" s="68">
        <f t="shared" ref="H17:H31" si="2">+G17/D17</f>
        <v>6.3352826510721258E-2</v>
      </c>
      <c r="I17" s="64">
        <v>3.9</v>
      </c>
      <c r="J17" s="68">
        <f t="shared" ref="J17:J31" si="3">+I17/D17</f>
        <v>7.6023391812865493E-2</v>
      </c>
      <c r="K17" s="313">
        <f t="shared" si="0"/>
        <v>6.265856918494303E-2</v>
      </c>
    </row>
    <row r="18" spans="1:11" ht="17.5">
      <c r="A18" s="65" t="str">
        <f>+'S&amp;D'!A24</f>
        <v>AMEREN Corporation</v>
      </c>
      <c r="B18" s="93" t="str">
        <f>+'S&amp;D'!B24</f>
        <v>AEE</v>
      </c>
      <c r="C18" s="93" t="str">
        <f>+'S&amp;D'!C24</f>
        <v>Electric Utility - Cent</v>
      </c>
      <c r="D18" s="62">
        <f>+'S&amp;D'!G24</f>
        <v>72.34</v>
      </c>
      <c r="E18" s="64">
        <v>4.5999999999999996</v>
      </c>
      <c r="F18" s="68">
        <f t="shared" si="1"/>
        <v>6.3588609344760849E-2</v>
      </c>
      <c r="G18" s="64">
        <v>4.9000000000000004</v>
      </c>
      <c r="H18" s="68">
        <f t="shared" si="2"/>
        <v>6.7735692562897437E-2</v>
      </c>
      <c r="I18" s="64">
        <v>5.75</v>
      </c>
      <c r="J18" s="68">
        <f t="shared" si="3"/>
        <v>7.9485761680951061E-2</v>
      </c>
      <c r="K18" s="313">
        <f t="shared" si="0"/>
        <v>5.4768751380597551E-2</v>
      </c>
    </row>
    <row r="19" spans="1:11" ht="17.5">
      <c r="A19" s="65" t="str">
        <f>+'S&amp;D'!A25</f>
        <v>American Electric Power</v>
      </c>
      <c r="B19" s="93" t="str">
        <f>+'S&amp;D'!B25</f>
        <v>AEP</v>
      </c>
      <c r="C19" s="93" t="str">
        <f>+'S&amp;D'!C25</f>
        <v>Electric Utility - Cent</v>
      </c>
      <c r="D19" s="62">
        <f>+'S&amp;D'!G25</f>
        <v>81.22</v>
      </c>
      <c r="E19" s="64">
        <v>5.6</v>
      </c>
      <c r="F19" s="68">
        <f t="shared" si="1"/>
        <v>6.8948534843634571E-2</v>
      </c>
      <c r="G19" s="64">
        <v>6</v>
      </c>
      <c r="H19" s="68">
        <f t="shared" si="2"/>
        <v>7.3873430189608472E-2</v>
      </c>
      <c r="I19" s="64">
        <v>7.25</v>
      </c>
      <c r="J19" s="68">
        <f t="shared" si="3"/>
        <v>8.9263728145776905E-2</v>
      </c>
      <c r="K19" s="313">
        <f t="shared" si="0"/>
        <v>6.5112754734579351E-2</v>
      </c>
    </row>
    <row r="20" spans="1:11" ht="17.5">
      <c r="A20" s="65" t="str">
        <f>+'S&amp;D'!A26</f>
        <v>Centerpoint Energy</v>
      </c>
      <c r="B20" s="93" t="str">
        <f>+'S&amp;D'!B26</f>
        <v>CNP</v>
      </c>
      <c r="C20" s="93" t="str">
        <f>+'S&amp;D'!C26</f>
        <v>Electric Utility - Cent</v>
      </c>
      <c r="D20" s="62">
        <f>+'S&amp;D'!G26</f>
        <v>28.57</v>
      </c>
      <c r="E20" s="64">
        <v>1.48</v>
      </c>
      <c r="F20" s="68">
        <f t="shared" si="1"/>
        <v>5.1802590129506478E-2</v>
      </c>
      <c r="G20" s="64">
        <v>1.6</v>
      </c>
      <c r="H20" s="68">
        <f t="shared" si="2"/>
        <v>5.6002800140007004E-2</v>
      </c>
      <c r="I20" s="64">
        <v>1.9</v>
      </c>
      <c r="J20" s="68">
        <f t="shared" si="3"/>
        <v>6.6503325166258315E-2</v>
      </c>
      <c r="K20" s="313">
        <f t="shared" si="0"/>
        <v>5.8955896068659343E-2</v>
      </c>
    </row>
    <row r="21" spans="1:11" ht="17.5">
      <c r="A21" s="65" t="str">
        <f>+'S&amp;D'!A27</f>
        <v>CMS Energy</v>
      </c>
      <c r="B21" s="93" t="str">
        <f>+'S&amp;D'!B27</f>
        <v>CMS</v>
      </c>
      <c r="C21" s="93" t="str">
        <f>+'S&amp;D'!C27</f>
        <v>Electric Utility - Cent</v>
      </c>
      <c r="D21" s="62">
        <f>+'S&amp;D'!G27</f>
        <v>58.07</v>
      </c>
      <c r="E21" s="64">
        <v>3.25</v>
      </c>
      <c r="F21" s="68">
        <f t="shared" si="1"/>
        <v>5.5966936456001377E-2</v>
      </c>
      <c r="G21" s="64">
        <v>3.45</v>
      </c>
      <c r="H21" s="68">
        <f t="shared" si="2"/>
        <v>5.9411055622524543E-2</v>
      </c>
      <c r="I21" s="64">
        <v>3.75</v>
      </c>
      <c r="J21" s="68">
        <f t="shared" si="3"/>
        <v>6.4577234372309278E-2</v>
      </c>
      <c r="K21" s="313">
        <f t="shared" si="0"/>
        <v>2.8183722701926695E-2</v>
      </c>
    </row>
    <row r="22" spans="1:11" ht="17.5">
      <c r="A22" s="65" t="str">
        <f>+'S&amp;D'!A28</f>
        <v>DTE Energy</v>
      </c>
      <c r="B22" s="93" t="str">
        <f>+'S&amp;D'!B28</f>
        <v>DTE</v>
      </c>
      <c r="C22" s="93" t="str">
        <f>+'S&amp;D'!C28</f>
        <v>Electric Utility - Cent</v>
      </c>
      <c r="D22" s="62">
        <f>+'S&amp;D'!G28</f>
        <v>110.26</v>
      </c>
      <c r="E22" s="64">
        <v>6.8</v>
      </c>
      <c r="F22" s="68">
        <f t="shared" si="1"/>
        <v>6.167241066569925E-2</v>
      </c>
      <c r="G22" s="64">
        <v>7.2</v>
      </c>
      <c r="H22" s="68">
        <f t="shared" si="2"/>
        <v>6.5300199528387448E-2</v>
      </c>
      <c r="I22" s="64">
        <v>8.5</v>
      </c>
      <c r="J22" s="68">
        <f t="shared" si="3"/>
        <v>7.7090513332124064E-2</v>
      </c>
      <c r="K22" s="313">
        <f t="shared" si="0"/>
        <v>5.6887617564166271E-2</v>
      </c>
    </row>
    <row r="23" spans="1:11" ht="17.5">
      <c r="A23" s="65" t="str">
        <f>+'S&amp;D'!A29</f>
        <v>Duke Energy</v>
      </c>
      <c r="B23" s="93" t="str">
        <f>+'S&amp;D'!B29</f>
        <v>DUK</v>
      </c>
      <c r="C23" s="93" t="str">
        <f>+'S&amp;D'!C29</f>
        <v>Electric Utility - East</v>
      </c>
      <c r="D23" s="62">
        <f>+'S&amp;D'!G29</f>
        <v>97.04</v>
      </c>
      <c r="E23" s="64">
        <v>6</v>
      </c>
      <c r="F23" s="68">
        <f t="shared" si="1"/>
        <v>6.1830173124484744E-2</v>
      </c>
      <c r="G23" s="64">
        <v>6.35</v>
      </c>
      <c r="H23" s="68">
        <f t="shared" si="2"/>
        <v>6.5436933223413013E-2</v>
      </c>
      <c r="I23" s="64">
        <v>7.5</v>
      </c>
      <c r="J23" s="68">
        <f t="shared" si="3"/>
        <v>7.728771640560593E-2</v>
      </c>
      <c r="K23" s="313">
        <f t="shared" si="0"/>
        <v>5.7050767862769761E-2</v>
      </c>
    </row>
    <row r="24" spans="1:11" ht="17.5">
      <c r="A24" s="65" t="str">
        <f>+'S&amp;D'!A30</f>
        <v>Entergy Corp</v>
      </c>
      <c r="B24" s="93" t="str">
        <f>+'S&amp;D'!B30</f>
        <v>ETR</v>
      </c>
      <c r="C24" s="93" t="str">
        <f>+'S&amp;D'!C30</f>
        <v>Electric Utility - Cent</v>
      </c>
      <c r="D24" s="62">
        <f>+'S&amp;D'!G30</f>
        <v>101.19</v>
      </c>
      <c r="E24" s="64">
        <v>6.45</v>
      </c>
      <c r="F24" s="68">
        <f t="shared" si="1"/>
        <v>6.3741476430477326E-2</v>
      </c>
      <c r="G24" s="64">
        <v>6.85</v>
      </c>
      <c r="H24" s="68">
        <f t="shared" si="2"/>
        <v>6.7694436209111572E-2</v>
      </c>
      <c r="I24" s="64">
        <v>8.0500000000000007</v>
      </c>
      <c r="J24" s="68">
        <f t="shared" si="3"/>
        <v>7.9553315545014339E-2</v>
      </c>
      <c r="K24" s="313">
        <f t="shared" si="0"/>
        <v>5.5281771282197224E-2</v>
      </c>
    </row>
    <row r="25" spans="1:11" ht="17.5">
      <c r="A25" s="65" t="str">
        <f>+'S&amp;D'!A31</f>
        <v>Evergy Inc</v>
      </c>
      <c r="B25" s="93" t="str">
        <f>+'S&amp;D'!B31</f>
        <v>EVRG</v>
      </c>
      <c r="C25" s="93" t="str">
        <f>+'S&amp;D'!C31</f>
        <v>Electric Utility - Cent</v>
      </c>
      <c r="D25" s="62">
        <f>+'S&amp;D'!G31</f>
        <v>52.2</v>
      </c>
      <c r="E25" s="64">
        <v>3.85</v>
      </c>
      <c r="F25" s="68">
        <f t="shared" si="1"/>
        <v>7.3754789272030649E-2</v>
      </c>
      <c r="G25" s="64">
        <v>4</v>
      </c>
      <c r="H25" s="68">
        <f t="shared" si="2"/>
        <v>7.662835249042145E-2</v>
      </c>
      <c r="I25" s="64">
        <v>4.75</v>
      </c>
      <c r="J25" s="68">
        <f t="shared" si="3"/>
        <v>9.099616858237547E-2</v>
      </c>
      <c r="K25" s="313">
        <f t="shared" si="0"/>
        <v>5.8955896068659398E-2</v>
      </c>
    </row>
    <row r="26" spans="1:11" ht="17.5">
      <c r="A26" s="65" t="str">
        <f>+'S&amp;D'!A32</f>
        <v>FirstEnergy Corp</v>
      </c>
      <c r="B26" s="93" t="str">
        <f>+'S&amp;D'!B32</f>
        <v>FE</v>
      </c>
      <c r="C26" s="93" t="str">
        <f>+'S&amp;D'!C32</f>
        <v>Electric Utility - East</v>
      </c>
      <c r="D26" s="62">
        <f>+'S&amp;D'!G32</f>
        <v>36.659999999999997</v>
      </c>
      <c r="E26" s="64">
        <v>2.7</v>
      </c>
      <c r="F26" s="68">
        <f t="shared" si="1"/>
        <v>7.3649754500818343E-2</v>
      </c>
      <c r="G26" s="64">
        <v>2.85</v>
      </c>
      <c r="H26" s="68">
        <f t="shared" si="2"/>
        <v>7.7741407528641587E-2</v>
      </c>
      <c r="I26" s="64">
        <v>3.4</v>
      </c>
      <c r="J26" s="68">
        <f t="shared" si="3"/>
        <v>9.2744135297326794E-2</v>
      </c>
      <c r="K26" s="313">
        <f t="shared" si="0"/>
        <v>6.0583058884789903E-2</v>
      </c>
    </row>
    <row r="27" spans="1:11" ht="17.5">
      <c r="A27" s="65" t="str">
        <f>+'S&amp;D'!A33</f>
        <v>OGE Energy Corp.</v>
      </c>
      <c r="B27" s="93" t="str">
        <f>+'S&amp;D'!B33</f>
        <v>OGE</v>
      </c>
      <c r="C27" s="93" t="str">
        <f>+'S&amp;D'!C33</f>
        <v>Electric Utility - Cent</v>
      </c>
      <c r="D27" s="62">
        <f>+'S&amp;D'!G33</f>
        <v>34.93</v>
      </c>
      <c r="E27" s="64">
        <v>2.15</v>
      </c>
      <c r="F27" s="68">
        <f t="shared" si="1"/>
        <v>6.1551674778127681E-2</v>
      </c>
      <c r="G27" s="64">
        <v>2.2999999999999998</v>
      </c>
      <c r="H27" s="68">
        <f t="shared" si="2"/>
        <v>6.5845977669624967E-2</v>
      </c>
      <c r="I27" s="64">
        <v>2.75</v>
      </c>
      <c r="J27" s="68">
        <f t="shared" si="3"/>
        <v>7.8728886344116802E-2</v>
      </c>
      <c r="K27" s="313">
        <f t="shared" si="0"/>
        <v>6.1373611984150915E-2</v>
      </c>
    </row>
    <row r="28" spans="1:11" ht="17.5">
      <c r="A28" s="65" t="str">
        <f>+'S&amp;D'!A34</f>
        <v>Otter Tail Corp</v>
      </c>
      <c r="B28" s="93" t="str">
        <f>+'S&amp;D'!B34</f>
        <v>OTTR</v>
      </c>
      <c r="C28" s="93" t="str">
        <f>+'S&amp;D'!C34</f>
        <v>Electric Utility - Cent</v>
      </c>
      <c r="D28" s="62">
        <f>+'S&amp;D'!G34</f>
        <v>84.97</v>
      </c>
      <c r="E28" s="64">
        <v>5</v>
      </c>
      <c r="F28" s="68">
        <f t="shared" si="1"/>
        <v>5.884429798752501E-2</v>
      </c>
      <c r="G28" s="64">
        <v>4</v>
      </c>
      <c r="H28" s="68">
        <f t="shared" si="2"/>
        <v>4.7075438390020007E-2</v>
      </c>
      <c r="I28" s="64">
        <v>4.5999999999999996</v>
      </c>
      <c r="J28" s="68">
        <f t="shared" si="3"/>
        <v>5.4136754148523002E-2</v>
      </c>
      <c r="K28" s="313">
        <f t="shared" si="0"/>
        <v>4.7689553171647185E-2</v>
      </c>
    </row>
    <row r="29" spans="1:11" ht="17.5">
      <c r="A29" s="65" t="str">
        <f>+'S&amp;D'!A35</f>
        <v>PPL Corporation</v>
      </c>
      <c r="B29" s="93" t="str">
        <f>+'S&amp;D'!B35</f>
        <v>PPL</v>
      </c>
      <c r="C29" s="93" t="str">
        <f>+'S&amp;D'!C35</f>
        <v>Electric Utility - East</v>
      </c>
      <c r="D29" s="62">
        <f>+'S&amp;D'!G35</f>
        <v>27.1</v>
      </c>
      <c r="E29" s="64">
        <v>1.7</v>
      </c>
      <c r="F29" s="68">
        <f t="shared" si="1"/>
        <v>6.273062730627306E-2</v>
      </c>
      <c r="G29" s="64">
        <v>1.8</v>
      </c>
      <c r="H29" s="68">
        <f t="shared" si="2"/>
        <v>6.6420664206642069E-2</v>
      </c>
      <c r="I29" s="64">
        <v>2.2000000000000002</v>
      </c>
      <c r="J29" s="68">
        <f t="shared" si="3"/>
        <v>8.1180811808118078E-2</v>
      </c>
      <c r="K29" s="313">
        <f t="shared" si="0"/>
        <v>6.9178109999120496E-2</v>
      </c>
    </row>
    <row r="30" spans="1:11" ht="17.5">
      <c r="A30" s="65" t="str">
        <f>+'S&amp;D'!A36</f>
        <v>The Southern Company</v>
      </c>
      <c r="B30" s="93" t="str">
        <f>+'S&amp;D'!B36</f>
        <v>SO</v>
      </c>
      <c r="C30" s="93" t="str">
        <f>+'S&amp;D'!C36</f>
        <v>Electric Utility - East</v>
      </c>
      <c r="D30" s="62">
        <f>+'S&amp;D'!G36</f>
        <v>70.12</v>
      </c>
      <c r="E30" s="64">
        <v>4</v>
      </c>
      <c r="F30" s="68">
        <f t="shared" si="1"/>
        <v>5.7045065601825436E-2</v>
      </c>
      <c r="G30" s="64">
        <v>4.3</v>
      </c>
      <c r="H30" s="68">
        <f t="shared" si="2"/>
        <v>6.1323445521962346E-2</v>
      </c>
      <c r="I30" s="64">
        <v>5.15</v>
      </c>
      <c r="J30" s="68">
        <f t="shared" si="3"/>
        <v>7.3445521962350255E-2</v>
      </c>
      <c r="K30" s="313">
        <f t="shared" si="0"/>
        <v>6.1971653305991393E-2</v>
      </c>
    </row>
    <row r="31" spans="1:11" ht="17.5">
      <c r="A31" s="65" t="str">
        <f>+'S&amp;D'!A37</f>
        <v>WEC Energy Group</v>
      </c>
      <c r="B31" s="93" t="str">
        <f>+'S&amp;D'!B37</f>
        <v>WEC</v>
      </c>
      <c r="C31" s="93" t="str">
        <f>+'S&amp;D'!C37</f>
        <v>Electric Utility - Cent</v>
      </c>
      <c r="D31" s="62">
        <f>+'S&amp;D'!G37</f>
        <v>84.17</v>
      </c>
      <c r="E31" s="64">
        <v>4.9000000000000004</v>
      </c>
      <c r="F31" s="68">
        <f t="shared" si="1"/>
        <v>5.8215516217179519E-2</v>
      </c>
      <c r="G31" s="64">
        <v>5.25</v>
      </c>
      <c r="H31" s="68">
        <f t="shared" si="2"/>
        <v>6.2373767375549484E-2</v>
      </c>
      <c r="I31" s="64">
        <v>6.3</v>
      </c>
      <c r="J31" s="68">
        <f t="shared" si="3"/>
        <v>7.4848520850659378E-2</v>
      </c>
      <c r="K31" s="313">
        <f t="shared" si="0"/>
        <v>6.2658569184943141E-2</v>
      </c>
    </row>
    <row r="32" spans="1:11" ht="17.5" thickBot="1">
      <c r="A32" s="13"/>
      <c r="B32" s="13"/>
      <c r="C32" s="45"/>
      <c r="D32" s="48"/>
      <c r="E32" s="48"/>
      <c r="F32" s="48"/>
      <c r="G32" s="48"/>
      <c r="H32" s="48"/>
      <c r="I32" s="48"/>
      <c r="J32" s="48"/>
      <c r="K32" s="48"/>
    </row>
    <row r="33" spans="1:11" ht="17.5" thickTop="1">
      <c r="A33" s="13"/>
      <c r="B33" s="13"/>
      <c r="D33" s="15" t="s">
        <v>65</v>
      </c>
      <c r="E33" s="17">
        <f>+MAX(E16:E31)</f>
        <v>6.8</v>
      </c>
      <c r="F33" s="311">
        <f t="shared" ref="F33:K33" si="4">+MAX(F16:F31)</f>
        <v>7.3754789272030649E-2</v>
      </c>
      <c r="G33" s="17">
        <f t="shared" si="4"/>
        <v>7.2</v>
      </c>
      <c r="H33" s="311">
        <f t="shared" si="4"/>
        <v>7.7741407528641587E-2</v>
      </c>
      <c r="I33" s="17">
        <f t="shared" si="4"/>
        <v>8.5</v>
      </c>
      <c r="J33" s="311">
        <f t="shared" si="4"/>
        <v>9.2744135297326794E-2</v>
      </c>
      <c r="K33" s="311">
        <f t="shared" si="4"/>
        <v>6.9178109999120496E-2</v>
      </c>
    </row>
    <row r="34" spans="1:11" ht="17">
      <c r="A34" s="13"/>
      <c r="B34" s="13"/>
      <c r="D34" s="15" t="s">
        <v>66</v>
      </c>
      <c r="E34" s="315">
        <f>MIN(E16:E31)</f>
        <v>1.48</v>
      </c>
      <c r="F34" s="312">
        <f t="shared" ref="F34:K34" si="5">MIN(F16:F31)</f>
        <v>5.1802590129506478E-2</v>
      </c>
      <c r="G34" s="315">
        <f t="shared" si="5"/>
        <v>1.6</v>
      </c>
      <c r="H34" s="312">
        <f t="shared" si="5"/>
        <v>4.7075438390020007E-2</v>
      </c>
      <c r="I34" s="315">
        <f t="shared" si="5"/>
        <v>1.9</v>
      </c>
      <c r="J34" s="312">
        <f t="shared" si="5"/>
        <v>5.4136754148523002E-2</v>
      </c>
      <c r="K34" s="312">
        <f t="shared" si="5"/>
        <v>2.8183722701926695E-2</v>
      </c>
    </row>
    <row r="35" spans="1:11" ht="17">
      <c r="A35" s="13"/>
      <c r="B35" s="13"/>
      <c r="D35" s="15" t="s">
        <v>18</v>
      </c>
      <c r="E35" s="18">
        <f t="shared" ref="E35:K35" si="6">MEDIAN(E16:E31)</f>
        <v>3.95</v>
      </c>
      <c r="F35" s="57">
        <f t="shared" si="6"/>
        <v>6.1751291895092E-2</v>
      </c>
      <c r="G35" s="18">
        <f t="shared" si="6"/>
        <v>4.125</v>
      </c>
      <c r="H35" s="57">
        <f t="shared" si="6"/>
        <v>6.564145544651899E-2</v>
      </c>
      <c r="I35" s="18">
        <f t="shared" si="6"/>
        <v>4.95</v>
      </c>
      <c r="J35" s="57">
        <f t="shared" si="6"/>
        <v>7.8008301374861366E-2</v>
      </c>
      <c r="K35" s="57">
        <f t="shared" si="6"/>
        <v>5.9769477476724647E-2</v>
      </c>
    </row>
    <row r="36" spans="1:11" ht="17">
      <c r="A36" s="13"/>
      <c r="B36" s="13"/>
      <c r="D36" s="15" t="s">
        <v>441</v>
      </c>
      <c r="E36" s="22">
        <f t="shared" ref="E36:K36" si="7">AVERAGE(E16:E31)</f>
        <v>4.0893750000000004</v>
      </c>
      <c r="F36" s="59">
        <f t="shared" si="7"/>
        <v>6.2285238485949843E-2</v>
      </c>
      <c r="G36" s="22">
        <f t="shared" si="7"/>
        <v>4.2718749999999996</v>
      </c>
      <c r="H36" s="59">
        <f t="shared" si="7"/>
        <v>6.5356643114053925E-2</v>
      </c>
      <c r="I36" s="22">
        <f t="shared" si="7"/>
        <v>5.0562500000000004</v>
      </c>
      <c r="J36" s="59">
        <f t="shared" si="7"/>
        <v>7.7504446777294775E-2</v>
      </c>
      <c r="K36" s="59">
        <f t="shared" si="7"/>
        <v>5.7964395348233638E-2</v>
      </c>
    </row>
    <row r="37" spans="1:11" ht="17">
      <c r="A37" s="13"/>
      <c r="B37" s="13"/>
      <c r="D37" s="13"/>
      <c r="E37" s="13"/>
      <c r="F37" s="13"/>
      <c r="G37" s="13"/>
      <c r="H37" s="13"/>
      <c r="I37" s="13"/>
      <c r="J37" s="13"/>
      <c r="K37" s="13"/>
    </row>
    <row r="38" spans="1:11" ht="25.5">
      <c r="A38" s="13"/>
      <c r="B38" s="13"/>
      <c r="C38" s="13"/>
      <c r="D38" s="13"/>
      <c r="E38" s="13"/>
      <c r="F38" s="51" t="s">
        <v>0</v>
      </c>
      <c r="G38" s="66" t="s">
        <v>0</v>
      </c>
      <c r="H38" s="13"/>
      <c r="I38" s="13"/>
      <c r="J38" s="13"/>
      <c r="K38" s="13"/>
    </row>
    <row r="39" spans="1:11" ht="18.5">
      <c r="A39" s="239" t="s">
        <v>319</v>
      </c>
    </row>
  </sheetData>
  <pageMargins left="0.25" right="0.25" top="0.75" bottom="0.75" header="0.3" footer="0.3"/>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FB36B36E7EE46B860E7832FBC9DDB" ma:contentTypeVersion="1" ma:contentTypeDescription="Create a new document." ma:contentTypeScope="" ma:versionID="bff476506a81a32367fb2f95cb3debc2">
  <xsd:schema xmlns:xsd="http://www.w3.org/2001/XMLSchema" xmlns:xs="http://www.w3.org/2001/XMLSchema" xmlns:p="http://schemas.microsoft.com/office/2006/metadata/properties" xmlns:ns2="f94b9277-b0a3-4d91-bade-04ea91219630" targetNamespace="http://schemas.microsoft.com/office/2006/metadata/properties" ma:root="true" ma:fieldsID="93ea9a64a9ab47897a537ad3dd05bc89" ns2:_="">
    <xsd:import namespace="f94b9277-b0a3-4d91-bade-04ea912196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BDDDEB-CB5E-4569-AAF8-AFE39DA65AA6}"/>
</file>

<file path=customXml/itemProps2.xml><?xml version="1.0" encoding="utf-8"?>
<ds:datastoreItem xmlns:ds="http://schemas.openxmlformats.org/officeDocument/2006/customXml" ds:itemID="{E33279A5-EBCB-46EA-A8A8-335699A3D606}"/>
</file>

<file path=customXml/itemProps3.xml><?xml version="1.0" encoding="utf-8"?>
<ds:datastoreItem xmlns:ds="http://schemas.openxmlformats.org/officeDocument/2006/customXml" ds:itemID="{F3E03777-0F82-476B-8A2D-83D52302EF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 </vt:lpstr>
      <vt:lpstr>CAPM</vt:lpstr>
      <vt:lpstr>Single Stage Div Growth Model</vt:lpstr>
      <vt:lpstr>Two-Stage Dividend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 '!Print_Area</vt:lpstr>
      <vt:lpstr>'Maintenance CapEx'!Print_Area</vt:lpstr>
      <vt:lpstr>'Market to Book Ratios'!Print_Area</vt:lpstr>
      <vt:lpstr>Multiples!Print_Area</vt:lpstr>
      <vt:lpstr>'S&amp;D'!Print_Area</vt:lpstr>
      <vt:lpstr>'Single Stage Div Growth Model'!Print_Area</vt:lpstr>
      <vt:lpstr>'Two-Stage Dividend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Electric Utility</dc:title>
  <dc:creator>%USERNAME%</dc:creator>
  <cp:lastModifiedBy>Baker, Mike A (DOR)</cp:lastModifiedBy>
  <cp:lastPrinted>2023-05-30T14:17:04Z</cp:lastPrinted>
  <dcterms:created xsi:type="dcterms:W3CDTF">2016-02-12T19:29:24Z</dcterms:created>
  <dcterms:modified xsi:type="dcterms:W3CDTF">2024-07-24T22:24:02Z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0x01010019CFB36B36E7EE46B860E7832FBC9DDB</vt:lpwstr>
  </property>
</Properties>
</file>